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480" windowHeight="76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I51" i="1"/>
  <c r="AC51"/>
  <c r="AE51"/>
  <c r="Y51"/>
  <c r="AA51"/>
  <c r="U51"/>
  <c r="W51"/>
  <c r="T51"/>
  <c r="S51"/>
  <c r="Q51"/>
  <c r="O51"/>
  <c r="I51"/>
  <c r="K51"/>
  <c r="E51"/>
  <c r="AH51"/>
  <c r="AI50"/>
  <c r="AE50"/>
  <c r="AC50"/>
  <c r="AA50"/>
  <c r="Y50"/>
  <c r="U50"/>
  <c r="T50"/>
  <c r="W50"/>
  <c r="Q50"/>
  <c r="S50"/>
  <c r="O50"/>
  <c r="K50"/>
  <c r="I50"/>
  <c r="G50"/>
  <c r="AF50"/>
  <c r="E50"/>
  <c r="AH50"/>
  <c r="AI49"/>
  <c r="AC49"/>
  <c r="AE49"/>
  <c r="AA49"/>
  <c r="U49"/>
  <c r="T49"/>
  <c r="W49"/>
  <c r="Q49"/>
  <c r="S49"/>
  <c r="O49"/>
  <c r="K49"/>
  <c r="E49"/>
  <c r="AH49"/>
  <c r="AI48"/>
  <c r="AE48"/>
  <c r="AC48"/>
  <c r="AA48"/>
  <c r="U48"/>
  <c r="W48"/>
  <c r="T48"/>
  <c r="S48"/>
  <c r="Q48"/>
  <c r="O48"/>
  <c r="I48"/>
  <c r="K48"/>
  <c r="E48"/>
  <c r="G48"/>
  <c r="AI47"/>
  <c r="AE47"/>
  <c r="AC47"/>
  <c r="AA47"/>
  <c r="U47"/>
  <c r="W47"/>
  <c r="T47"/>
  <c r="S47"/>
  <c r="Q47"/>
  <c r="O47"/>
  <c r="I47"/>
  <c r="K47"/>
  <c r="E47"/>
  <c r="G47"/>
  <c r="AF47"/>
  <c r="AI46"/>
  <c r="AE46"/>
  <c r="AC46"/>
  <c r="AA46"/>
  <c r="Y46"/>
  <c r="U46"/>
  <c r="T46"/>
  <c r="W46"/>
  <c r="Q46"/>
  <c r="S46"/>
  <c r="O46"/>
  <c r="K46"/>
  <c r="I46"/>
  <c r="G46"/>
  <c r="AF46"/>
  <c r="E46"/>
  <c r="AH46"/>
  <c r="AI45"/>
  <c r="AC45"/>
  <c r="AE45"/>
  <c r="Y45"/>
  <c r="AA45"/>
  <c r="U45"/>
  <c r="W45"/>
  <c r="T45"/>
  <c r="S45"/>
  <c r="Q45"/>
  <c r="O45"/>
  <c r="K45"/>
  <c r="G45"/>
  <c r="E45"/>
  <c r="AH45"/>
  <c r="AI44"/>
  <c r="AC44"/>
  <c r="AE44"/>
  <c r="Y44"/>
  <c r="AA44"/>
  <c r="U44"/>
  <c r="W44"/>
  <c r="T44"/>
  <c r="S44"/>
  <c r="Q44"/>
  <c r="O44"/>
  <c r="I44"/>
  <c r="K44"/>
  <c r="E44"/>
  <c r="AH44"/>
  <c r="AI43"/>
  <c r="AE43"/>
  <c r="AC43"/>
  <c r="AA43"/>
  <c r="Y43"/>
  <c r="U43"/>
  <c r="T43"/>
  <c r="W43"/>
  <c r="Q43"/>
  <c r="S43"/>
  <c r="O43"/>
  <c r="K43"/>
  <c r="I43"/>
  <c r="G43"/>
  <c r="AF43"/>
  <c r="E43"/>
  <c r="AH43"/>
  <c r="AI42"/>
  <c r="AC42"/>
  <c r="AE42"/>
  <c r="AA42"/>
  <c r="U42"/>
  <c r="T42"/>
  <c r="W42"/>
  <c r="Q42"/>
  <c r="S42"/>
  <c r="O42"/>
  <c r="K42"/>
  <c r="I42"/>
  <c r="G42"/>
  <c r="E42"/>
  <c r="AH42"/>
  <c r="AI41"/>
  <c r="AC41"/>
  <c r="AE41"/>
  <c r="Y41"/>
  <c r="AA41"/>
  <c r="U41"/>
  <c r="W41"/>
  <c r="T41"/>
  <c r="S41"/>
  <c r="Q41"/>
  <c r="O41"/>
  <c r="I41"/>
  <c r="K41"/>
  <c r="E41"/>
  <c r="AH41"/>
  <c r="AI40"/>
  <c r="AE40"/>
  <c r="AC40"/>
  <c r="AA40"/>
  <c r="Y40"/>
  <c r="U40"/>
  <c r="T40"/>
  <c r="W40"/>
  <c r="Q40"/>
  <c r="S40"/>
  <c r="O40"/>
  <c r="K40"/>
  <c r="I40"/>
  <c r="G40"/>
  <c r="AF40"/>
  <c r="E40"/>
  <c r="AH40"/>
  <c r="AI39"/>
  <c r="AC39"/>
  <c r="AE39"/>
  <c r="Y39"/>
  <c r="AA39"/>
  <c r="U39"/>
  <c r="W39"/>
  <c r="T39"/>
  <c r="S39"/>
  <c r="Q39"/>
  <c r="AH39"/>
  <c r="O39"/>
  <c r="K39"/>
  <c r="G39"/>
  <c r="AI38"/>
  <c r="AE38"/>
  <c r="AC38"/>
  <c r="AA38"/>
  <c r="Y38"/>
  <c r="U38"/>
  <c r="T38"/>
  <c r="W38"/>
  <c r="Q38"/>
  <c r="S38"/>
  <c r="O38"/>
  <c r="K38"/>
  <c r="I38"/>
  <c r="G38"/>
  <c r="E38"/>
  <c r="AH38"/>
  <c r="AI37"/>
  <c r="AC37"/>
  <c r="AE37"/>
  <c r="AA37"/>
  <c r="U37"/>
  <c r="T37"/>
  <c r="W37"/>
  <c r="Q37"/>
  <c r="S37"/>
  <c r="O37"/>
  <c r="K37"/>
  <c r="E37"/>
  <c r="AH37"/>
  <c r="AI36"/>
  <c r="AE36"/>
  <c r="AC36"/>
  <c r="AA36"/>
  <c r="Y36"/>
  <c r="U36"/>
  <c r="T36"/>
  <c r="W36"/>
  <c r="Q36"/>
  <c r="S36"/>
  <c r="O36"/>
  <c r="K36"/>
  <c r="I36"/>
  <c r="G36"/>
  <c r="E36"/>
  <c r="AH36"/>
  <c r="AI35"/>
  <c r="AC35"/>
  <c r="AE35"/>
  <c r="Y35"/>
  <c r="AA35"/>
  <c r="U35"/>
  <c r="W35"/>
  <c r="T35"/>
  <c r="S35"/>
  <c r="Q35"/>
  <c r="O35"/>
  <c r="I35"/>
  <c r="K35"/>
  <c r="E35"/>
  <c r="AH35"/>
  <c r="AI34"/>
  <c r="AE34"/>
  <c r="AC34"/>
  <c r="AA34"/>
  <c r="Y34"/>
  <c r="U34"/>
  <c r="T34"/>
  <c r="W34"/>
  <c r="Q34"/>
  <c r="S34"/>
  <c r="O34"/>
  <c r="K34"/>
  <c r="I34"/>
  <c r="G34"/>
  <c r="AF34"/>
  <c r="E34"/>
  <c r="AH34"/>
  <c r="AI33"/>
  <c r="AC33"/>
  <c r="AE33"/>
  <c r="Y33"/>
  <c r="AA33"/>
  <c r="U33"/>
  <c r="W33"/>
  <c r="T33"/>
  <c r="S33"/>
  <c r="Q33"/>
  <c r="O33"/>
  <c r="I33"/>
  <c r="K33"/>
  <c r="E33"/>
  <c r="AH33"/>
  <c r="AI32"/>
  <c r="AE32"/>
  <c r="AC32"/>
  <c r="AA32"/>
  <c r="Y32"/>
  <c r="U32"/>
  <c r="T32"/>
  <c r="W32"/>
  <c r="Q32"/>
  <c r="S32"/>
  <c r="O32"/>
  <c r="K32"/>
  <c r="I32"/>
  <c r="G32"/>
  <c r="E32"/>
  <c r="AH32"/>
  <c r="AI31"/>
  <c r="AC31"/>
  <c r="AE31"/>
  <c r="Y31"/>
  <c r="AA31"/>
  <c r="U31"/>
  <c r="W31"/>
  <c r="T31"/>
  <c r="S31"/>
  <c r="Q31"/>
  <c r="O31"/>
  <c r="I31"/>
  <c r="K31"/>
  <c r="E31"/>
  <c r="AH31"/>
  <c r="AI30"/>
  <c r="AE30"/>
  <c r="AC30"/>
  <c r="AA30"/>
  <c r="Y30"/>
  <c r="U30"/>
  <c r="T30"/>
  <c r="W30"/>
  <c r="Q30"/>
  <c r="S30"/>
  <c r="O30"/>
  <c r="K30"/>
  <c r="I30"/>
  <c r="G30"/>
  <c r="AF30"/>
  <c r="E30"/>
  <c r="AI29"/>
  <c r="AE29"/>
  <c r="AA29"/>
  <c r="U29"/>
  <c r="W29"/>
  <c r="T29"/>
  <c r="S29"/>
  <c r="Q29"/>
  <c r="O29"/>
  <c r="I29"/>
  <c r="K29"/>
  <c r="E29"/>
  <c r="AH29"/>
  <c r="AI28"/>
  <c r="AE28"/>
  <c r="AC28"/>
  <c r="AA28"/>
  <c r="Y28"/>
  <c r="U28"/>
  <c r="T28"/>
  <c r="W28"/>
  <c r="Q28"/>
  <c r="S28"/>
  <c r="O28"/>
  <c r="K28"/>
  <c r="E28"/>
  <c r="G28"/>
  <c r="AF28"/>
  <c r="AI27"/>
  <c r="AE27"/>
  <c r="AC27"/>
  <c r="AA27"/>
  <c r="Y27"/>
  <c r="U27"/>
  <c r="T27"/>
  <c r="W27"/>
  <c r="Q27"/>
  <c r="S27"/>
  <c r="O27"/>
  <c r="K27"/>
  <c r="I27"/>
  <c r="G27"/>
  <c r="AF27"/>
  <c r="E27"/>
  <c r="AI26"/>
  <c r="AC26"/>
  <c r="AE26"/>
  <c r="AA26"/>
  <c r="U26"/>
  <c r="T26"/>
  <c r="W26"/>
  <c r="Q26"/>
  <c r="S26"/>
  <c r="O26"/>
  <c r="K26"/>
  <c r="E26"/>
  <c r="AH26"/>
  <c r="AI25"/>
  <c r="AE25"/>
  <c r="Y25"/>
  <c r="AA25"/>
  <c r="U25"/>
  <c r="W25"/>
  <c r="T25"/>
  <c r="S25"/>
  <c r="Q25"/>
  <c r="O25"/>
  <c r="I25"/>
  <c r="K25"/>
  <c r="E25"/>
  <c r="G25"/>
  <c r="AF25"/>
  <c r="AI19"/>
  <c r="AE19"/>
  <c r="AC19"/>
  <c r="AA19"/>
  <c r="Y19"/>
  <c r="U19"/>
  <c r="T19"/>
  <c r="W19"/>
  <c r="Q19"/>
  <c r="S19"/>
  <c r="O19"/>
  <c r="K19"/>
  <c r="I19"/>
  <c r="G19"/>
  <c r="AF19"/>
  <c r="E19"/>
  <c r="AI18"/>
  <c r="AC18"/>
  <c r="AE18"/>
  <c r="Y18"/>
  <c r="AA18"/>
  <c r="U18"/>
  <c r="W18"/>
  <c r="T18"/>
  <c r="S18"/>
  <c r="Q18"/>
  <c r="O18"/>
  <c r="I18"/>
  <c r="K18"/>
  <c r="E18"/>
  <c r="AH18"/>
  <c r="AI17"/>
  <c r="AE17"/>
  <c r="AC17"/>
  <c r="AA17"/>
  <c r="Y17"/>
  <c r="U17"/>
  <c r="T17"/>
  <c r="W17"/>
  <c r="Q17"/>
  <c r="S17"/>
  <c r="O17"/>
  <c r="K17"/>
  <c r="I17"/>
  <c r="G17"/>
  <c r="E17"/>
  <c r="AI16"/>
  <c r="AC16"/>
  <c r="AE16"/>
  <c r="Y16"/>
  <c r="AA16"/>
  <c r="U16"/>
  <c r="W16"/>
  <c r="T16"/>
  <c r="S16"/>
  <c r="Q16"/>
  <c r="O16"/>
  <c r="I16"/>
  <c r="K16"/>
  <c r="E16"/>
  <c r="AH16"/>
  <c r="AI15"/>
  <c r="AE15"/>
  <c r="AC15"/>
  <c r="AA15"/>
  <c r="Y15"/>
  <c r="U15"/>
  <c r="T15"/>
  <c r="W15"/>
  <c r="Q15"/>
  <c r="S15"/>
  <c r="O15"/>
  <c r="K15"/>
  <c r="I15"/>
  <c r="G15"/>
  <c r="AF15"/>
  <c r="E15"/>
  <c r="AI14"/>
  <c r="AC14"/>
  <c r="AE14"/>
  <c r="Y14"/>
  <c r="AA14"/>
  <c r="U14"/>
  <c r="W14"/>
  <c r="T14"/>
  <c r="S14"/>
  <c r="Q14"/>
  <c r="O14"/>
  <c r="I14"/>
  <c r="K14"/>
  <c r="E14"/>
  <c r="AH14"/>
  <c r="AI13"/>
  <c r="AE13"/>
  <c r="AC13"/>
  <c r="AA13"/>
  <c r="Y13"/>
  <c r="U13"/>
  <c r="T13"/>
  <c r="W13"/>
  <c r="Q13"/>
  <c r="S13"/>
  <c r="O13"/>
  <c r="K13"/>
  <c r="I13"/>
  <c r="G13"/>
  <c r="E13"/>
  <c r="AI12"/>
  <c r="AC12"/>
  <c r="AE12"/>
  <c r="AA12"/>
  <c r="U12"/>
  <c r="T12"/>
  <c r="W12"/>
  <c r="Q12"/>
  <c r="S12"/>
  <c r="O12"/>
  <c r="K12"/>
  <c r="E12"/>
  <c r="AH12"/>
  <c r="AI11"/>
  <c r="AE11"/>
  <c r="AC11"/>
  <c r="AA11"/>
  <c r="Y11"/>
  <c r="U11"/>
  <c r="T11"/>
  <c r="W11"/>
  <c r="Q11"/>
  <c r="S11"/>
  <c r="O11"/>
  <c r="K11"/>
  <c r="I11"/>
  <c r="G11"/>
  <c r="E11"/>
  <c r="AI10"/>
  <c r="AC10"/>
  <c r="AE10"/>
  <c r="AA10"/>
  <c r="U10"/>
  <c r="T10"/>
  <c r="W10"/>
  <c r="Q10"/>
  <c r="S10"/>
  <c r="O10"/>
  <c r="K10"/>
  <c r="E10"/>
  <c r="AH10"/>
  <c r="AI9"/>
  <c r="AE9"/>
  <c r="AC9"/>
  <c r="AA9"/>
  <c r="Y9"/>
  <c r="U9"/>
  <c r="T9"/>
  <c r="W9"/>
  <c r="Q9"/>
  <c r="S9"/>
  <c r="O9"/>
  <c r="K9"/>
  <c r="I9"/>
  <c r="G9"/>
  <c r="E9"/>
  <c r="AI8"/>
  <c r="AC8"/>
  <c r="AE8"/>
  <c r="Y8"/>
  <c r="AA8"/>
  <c r="U8"/>
  <c r="W8"/>
  <c r="T8"/>
  <c r="S8"/>
  <c r="Q8"/>
  <c r="O8"/>
  <c r="I8"/>
  <c r="K8"/>
  <c r="E8"/>
  <c r="AH8"/>
  <c r="AI7"/>
  <c r="AE7"/>
  <c r="AC7"/>
  <c r="AA7"/>
  <c r="Y7"/>
  <c r="U7"/>
  <c r="T7"/>
  <c r="W7"/>
  <c r="Q7"/>
  <c r="S7"/>
  <c r="O7"/>
  <c r="K7"/>
  <c r="I7"/>
  <c r="G7"/>
  <c r="AF7"/>
  <c r="E7"/>
  <c r="AI6"/>
  <c r="AC6"/>
  <c r="AE6"/>
  <c r="Y6"/>
  <c r="AA6"/>
  <c r="U6"/>
  <c r="W6"/>
  <c r="T6"/>
  <c r="S6"/>
  <c r="Q6"/>
  <c r="O6"/>
  <c r="I6"/>
  <c r="K6"/>
  <c r="E6"/>
  <c r="AH6"/>
  <c r="AI5"/>
  <c r="AE5"/>
  <c r="AC5"/>
  <c r="AA5"/>
  <c r="Y5"/>
  <c r="U5"/>
  <c r="T5"/>
  <c r="W5"/>
  <c r="Q5"/>
  <c r="S5"/>
  <c r="O5"/>
  <c r="K5"/>
  <c r="I5"/>
  <c r="G5"/>
  <c r="E5"/>
  <c r="AI4"/>
  <c r="AC4"/>
  <c r="AE4"/>
  <c r="AA4"/>
  <c r="U4"/>
  <c r="T4"/>
  <c r="W4"/>
  <c r="Q4"/>
  <c r="S4"/>
  <c r="O4"/>
  <c r="K4"/>
  <c r="E4"/>
  <c r="AH4"/>
  <c r="AF5"/>
  <c r="AF9"/>
  <c r="AF11"/>
  <c r="AF13"/>
  <c r="AF17"/>
  <c r="AF32"/>
  <c r="AF36"/>
  <c r="AF38"/>
  <c r="AF39"/>
  <c r="AF42"/>
  <c r="AF45"/>
  <c r="AF48"/>
  <c r="AH5"/>
  <c r="AH7"/>
  <c r="AH9"/>
  <c r="AH11"/>
  <c r="AH13"/>
  <c r="AH15"/>
  <c r="AH17"/>
  <c r="AH19"/>
  <c r="AH25"/>
  <c r="AH27"/>
  <c r="AH28"/>
  <c r="AH30"/>
  <c r="AH47"/>
  <c r="AH48"/>
  <c r="G4"/>
  <c r="AF4"/>
  <c r="G6"/>
  <c r="AF6"/>
  <c r="G8"/>
  <c r="AF8"/>
  <c r="G10"/>
  <c r="AF10"/>
  <c r="G12"/>
  <c r="AF12"/>
  <c r="G14"/>
  <c r="AF14"/>
  <c r="G16"/>
  <c r="AF16"/>
  <c r="G18"/>
  <c r="AF18"/>
  <c r="G26"/>
  <c r="AF26"/>
  <c r="G29"/>
  <c r="AF29"/>
  <c r="G31"/>
  <c r="AF31"/>
  <c r="G33"/>
  <c r="AF33"/>
  <c r="G35"/>
  <c r="AF35"/>
  <c r="G37"/>
  <c r="AF37"/>
  <c r="G41"/>
  <c r="AF41"/>
  <c r="G44"/>
  <c r="AF44"/>
  <c r="G49"/>
  <c r="AF49"/>
  <c r="G51"/>
  <c r="AF51"/>
</calcChain>
</file>

<file path=xl/sharedStrings.xml><?xml version="1.0" encoding="utf-8"?>
<sst xmlns="http://schemas.openxmlformats.org/spreadsheetml/2006/main" count="148" uniqueCount="67">
  <si>
    <t>NCRR  IDPA Training Center BuG Match 10/24/2009</t>
  </si>
  <si>
    <t>Name</t>
  </si>
  <si>
    <t>Div</t>
  </si>
  <si>
    <t>Class</t>
  </si>
  <si>
    <t>Time</t>
  </si>
  <si>
    <t>Down</t>
  </si>
  <si>
    <t>Total</t>
  </si>
  <si>
    <t xml:space="preserve"> </t>
  </si>
  <si>
    <t>RANKING</t>
  </si>
  <si>
    <t>DOWN</t>
  </si>
  <si>
    <t>IDPA Match</t>
  </si>
  <si>
    <t>Stage 1</t>
  </si>
  <si>
    <t>Points</t>
  </si>
  <si>
    <t>Pen</t>
  </si>
  <si>
    <t>Stage 2</t>
  </si>
  <si>
    <t>Stage 3</t>
  </si>
  <si>
    <t>Stage 4</t>
  </si>
  <si>
    <t>Stage 5</t>
  </si>
  <si>
    <t>Stage 6</t>
  </si>
  <si>
    <t>Stage 7</t>
  </si>
  <si>
    <t>Match</t>
  </si>
  <si>
    <t>OVERALL</t>
  </si>
  <si>
    <t>TOTAL POINTS</t>
  </si>
  <si>
    <t>Kris Sines</t>
  </si>
  <si>
    <t>R</t>
  </si>
  <si>
    <t>Joseph Pitha</t>
  </si>
  <si>
    <t>Joanna Lenczewska</t>
  </si>
  <si>
    <t>Kenneth Ortbach</t>
  </si>
  <si>
    <t>Andrew Healy</t>
  </si>
  <si>
    <t>Tim Kirkpatrick</t>
  </si>
  <si>
    <t>Matthew Nash</t>
  </si>
  <si>
    <t>James Bacus</t>
  </si>
  <si>
    <t>William Richards</t>
  </si>
  <si>
    <t>William Davis</t>
  </si>
  <si>
    <t>Walt Schneck</t>
  </si>
  <si>
    <t>Stephen Demcher</t>
  </si>
  <si>
    <t>John Healy</t>
  </si>
  <si>
    <t>George Hartsell</t>
  </si>
  <si>
    <t>Ryan Williams</t>
  </si>
  <si>
    <t>Buddy Pittman</t>
  </si>
  <si>
    <t>John Plum</t>
  </si>
  <si>
    <t>A</t>
  </si>
  <si>
    <t>Tom Yost</t>
  </si>
  <si>
    <t>Tim Bacus</t>
  </si>
  <si>
    <t>David Girardin</t>
  </si>
  <si>
    <t>Tom Richards</t>
  </si>
  <si>
    <t>Steve Sherman</t>
  </si>
  <si>
    <t>Don Hall</t>
  </si>
  <si>
    <t>Fred Rios</t>
  </si>
  <si>
    <t>Anthony Wojtyla</t>
  </si>
  <si>
    <t>Jeff Lesko</t>
  </si>
  <si>
    <t>James Bambu</t>
  </si>
  <si>
    <t>Cameron Green</t>
  </si>
  <si>
    <t>Frank Lindsay, Jr</t>
  </si>
  <si>
    <t>Jeff Hewlett</t>
  </si>
  <si>
    <t>David Curtin</t>
  </si>
  <si>
    <t>Roy Bobley</t>
  </si>
  <si>
    <t>Garnett Yeats</t>
  </si>
  <si>
    <t>Victor Anton</t>
  </si>
  <si>
    <t>Cassio Menzes</t>
  </si>
  <si>
    <t>Domenic Rachiele</t>
  </si>
  <si>
    <t>Robert Grey</t>
  </si>
  <si>
    <t>Jeff Hoch</t>
  </si>
  <si>
    <t>Mitch Gurowitz</t>
  </si>
  <si>
    <t>Hetal Banker</t>
  </si>
  <si>
    <t>Frank Lindsay, Sr</t>
  </si>
  <si>
    <t>Jason Hoch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</si>
</sst>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right"/>
    </xf>
    <xf numFmtId="2" fontId="3" fillId="0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 applyProtection="1">
      <alignment horizontal="right"/>
    </xf>
    <xf numFmtId="0" fontId="4" fillId="0" borderId="2" xfId="0" applyFont="1" applyFill="1" applyBorder="1" applyAlignment="1">
      <alignment horizontal="center"/>
    </xf>
    <xf numFmtId="0" fontId="0" fillId="0" borderId="3" xfId="0" applyBorder="1"/>
    <xf numFmtId="0" fontId="0" fillId="0" borderId="0" xfId="0" applyBorder="1"/>
    <xf numFmtId="14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Continuous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0" fillId="0" borderId="0" xfId="0" applyFill="1"/>
    <xf numFmtId="0" fontId="7" fillId="0" borderId="0" xfId="0" applyFont="1" applyFill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left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right"/>
    </xf>
    <xf numFmtId="2" fontId="0" fillId="0" borderId="5" xfId="0" applyNumberFormat="1" applyFill="1" applyBorder="1" applyAlignment="1" applyProtection="1">
      <alignment horizontal="center"/>
      <protection locked="0"/>
    </xf>
    <xf numFmtId="2" fontId="9" fillId="0" borderId="5" xfId="0" applyNumberFormat="1" applyFont="1" applyFill="1" applyBorder="1" applyAlignment="1" applyProtection="1">
      <alignment horizontal="center"/>
      <protection locked="0"/>
    </xf>
    <xf numFmtId="2" fontId="3" fillId="3" borderId="5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left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right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2" fontId="9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0" xfId="0" applyFont="1" applyBorder="1"/>
    <xf numFmtId="0" fontId="8" fillId="0" borderId="0" xfId="0" applyFont="1"/>
    <xf numFmtId="0" fontId="0" fillId="0" borderId="0" xfId="0" applyFill="1" applyBorder="1"/>
    <xf numFmtId="0" fontId="0" fillId="0" borderId="2" xfId="0" applyFill="1" applyBorder="1" applyAlignment="1" applyProtection="1">
      <alignment horizontal="center"/>
      <protection locked="0"/>
    </xf>
    <xf numFmtId="0" fontId="8" fillId="0" borderId="7" xfId="0" applyFont="1" applyFill="1" applyBorder="1" applyAlignment="1" applyProtection="1">
      <alignment horizontal="left"/>
      <protection locked="0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51"/>
  <sheetViews>
    <sheetView tabSelected="1" topLeftCell="A10" workbookViewId="0">
      <selection activeCell="AK48" sqref="AK48"/>
    </sheetView>
  </sheetViews>
  <sheetFormatPr defaultRowHeight="15"/>
  <cols>
    <col min="1" max="1" width="18" bestFit="1" customWidth="1"/>
    <col min="35" max="35" width="18" bestFit="1" customWidth="1"/>
  </cols>
  <sheetData>
    <row r="1" spans="1:39" ht="18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7"/>
      <c r="AK1" s="57"/>
      <c r="AL1" s="57"/>
      <c r="AM1" s="57"/>
    </row>
    <row r="2" spans="1:39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/>
      <c r="G2" s="4" t="s">
        <v>6</v>
      </c>
      <c r="H2" s="5" t="s">
        <v>4</v>
      </c>
      <c r="I2" s="3" t="s">
        <v>5</v>
      </c>
      <c r="J2" s="3"/>
      <c r="K2" s="4" t="s">
        <v>6</v>
      </c>
      <c r="L2" s="5" t="s">
        <v>4</v>
      </c>
      <c r="M2" s="3" t="s">
        <v>5</v>
      </c>
      <c r="N2" s="3"/>
      <c r="O2" s="4" t="s">
        <v>6</v>
      </c>
      <c r="P2" s="5" t="s">
        <v>4</v>
      </c>
      <c r="Q2" s="3" t="s">
        <v>5</v>
      </c>
      <c r="R2" s="3"/>
      <c r="S2" s="4" t="s">
        <v>7</v>
      </c>
      <c r="T2" s="5" t="s">
        <v>4</v>
      </c>
      <c r="U2" s="3" t="s">
        <v>5</v>
      </c>
      <c r="V2" s="3"/>
      <c r="W2" s="4" t="s">
        <v>7</v>
      </c>
      <c r="X2" s="5" t="s">
        <v>4</v>
      </c>
      <c r="Y2" s="3" t="s">
        <v>5</v>
      </c>
      <c r="Z2" s="3"/>
      <c r="AA2" s="4" t="s">
        <v>7</v>
      </c>
      <c r="AB2" s="5" t="s">
        <v>4</v>
      </c>
      <c r="AC2" s="3" t="s">
        <v>5</v>
      </c>
      <c r="AD2" s="3"/>
      <c r="AE2" s="4" t="s">
        <v>7</v>
      </c>
      <c r="AF2" s="6" t="s">
        <v>6</v>
      </c>
      <c r="AG2" s="3" t="s">
        <v>8</v>
      </c>
      <c r="AH2" s="3" t="s">
        <v>9</v>
      </c>
      <c r="AI2" s="7" t="s">
        <v>1</v>
      </c>
      <c r="AJ2" s="8"/>
      <c r="AK2" s="9"/>
      <c r="AL2" s="9"/>
      <c r="AM2" s="9"/>
    </row>
    <row r="3" spans="1:39">
      <c r="A3" s="1" t="s">
        <v>10</v>
      </c>
      <c r="B3" s="2"/>
      <c r="C3" s="10"/>
      <c r="D3" s="5" t="s">
        <v>11</v>
      </c>
      <c r="E3" s="3" t="s">
        <v>12</v>
      </c>
      <c r="F3" s="3" t="s">
        <v>13</v>
      </c>
      <c r="G3" s="4" t="s">
        <v>11</v>
      </c>
      <c r="H3" s="11" t="s">
        <v>14</v>
      </c>
      <c r="I3" s="3" t="s">
        <v>12</v>
      </c>
      <c r="J3" s="3" t="s">
        <v>13</v>
      </c>
      <c r="K3" s="4" t="s">
        <v>14</v>
      </c>
      <c r="L3" s="11" t="s">
        <v>15</v>
      </c>
      <c r="M3" s="3" t="s">
        <v>12</v>
      </c>
      <c r="N3" s="3" t="s">
        <v>13</v>
      </c>
      <c r="O3" s="4" t="s">
        <v>15</v>
      </c>
      <c r="P3" s="5" t="s">
        <v>16</v>
      </c>
      <c r="Q3" s="3" t="s">
        <v>12</v>
      </c>
      <c r="R3" s="3" t="s">
        <v>13</v>
      </c>
      <c r="S3" s="4" t="s">
        <v>16</v>
      </c>
      <c r="T3" s="5" t="s">
        <v>17</v>
      </c>
      <c r="U3" s="3" t="s">
        <v>12</v>
      </c>
      <c r="V3" s="3" t="s">
        <v>13</v>
      </c>
      <c r="W3" s="4" t="s">
        <v>17</v>
      </c>
      <c r="X3" s="5" t="s">
        <v>18</v>
      </c>
      <c r="Y3" s="3" t="s">
        <v>12</v>
      </c>
      <c r="Z3" s="3" t="s">
        <v>13</v>
      </c>
      <c r="AA3" s="4" t="s">
        <v>18</v>
      </c>
      <c r="AB3" s="5" t="s">
        <v>19</v>
      </c>
      <c r="AC3" s="3" t="s">
        <v>12</v>
      </c>
      <c r="AD3" s="3" t="s">
        <v>13</v>
      </c>
      <c r="AE3" s="4" t="s">
        <v>19</v>
      </c>
      <c r="AF3" s="6" t="s">
        <v>20</v>
      </c>
      <c r="AG3" s="3" t="s">
        <v>21</v>
      </c>
      <c r="AH3" s="3" t="s">
        <v>22</v>
      </c>
      <c r="AI3" s="12" t="s">
        <v>10</v>
      </c>
    </row>
    <row r="4" spans="1:39">
      <c r="A4" s="13" t="s">
        <v>23</v>
      </c>
      <c r="B4" s="14" t="s">
        <v>24</v>
      </c>
      <c r="C4" s="15"/>
      <c r="D4" s="15">
        <v>6.81</v>
      </c>
      <c r="E4" s="15">
        <f>SUM(3,0)</f>
        <v>3</v>
      </c>
      <c r="F4" s="15">
        <v>0</v>
      </c>
      <c r="G4" s="4">
        <f t="shared" ref="G4:G19" si="0">(E4*0.5)+F4+D4</f>
        <v>8.3099999999999987</v>
      </c>
      <c r="H4" s="16">
        <v>6.29</v>
      </c>
      <c r="I4" s="15">
        <v>0</v>
      </c>
      <c r="J4" s="15">
        <v>0</v>
      </c>
      <c r="K4" s="4">
        <f t="shared" ref="K4:K19" si="1">(I4*0.5)+H4+J4</f>
        <v>6.29</v>
      </c>
      <c r="L4" s="16">
        <v>6.29</v>
      </c>
      <c r="M4" s="15">
        <v>2</v>
      </c>
      <c r="N4" s="15">
        <v>0</v>
      </c>
      <c r="O4" s="4">
        <f t="shared" ref="O4:O19" si="2">(M4*0.5)+L4+N4</f>
        <v>7.29</v>
      </c>
      <c r="P4" s="16">
        <v>6.25</v>
      </c>
      <c r="Q4" s="15">
        <f>SUM(6,10)</f>
        <v>16</v>
      </c>
      <c r="R4" s="15">
        <v>0</v>
      </c>
      <c r="S4" s="4">
        <f t="shared" ref="S4:S19" si="3">(Q4*0.5)+P4+R4</f>
        <v>14.25</v>
      </c>
      <c r="T4" s="16">
        <f>SUM(4.31,6.46)</f>
        <v>10.77</v>
      </c>
      <c r="U4" s="15">
        <f>SUM(1,0,3,1)</f>
        <v>5</v>
      </c>
      <c r="V4" s="15">
        <v>0</v>
      </c>
      <c r="W4" s="4">
        <f t="shared" ref="W4:W19" si="4">(U4*0.5)+T4+V4</f>
        <v>13.27</v>
      </c>
      <c r="X4" s="16">
        <v>3.28</v>
      </c>
      <c r="Y4" s="15">
        <v>1</v>
      </c>
      <c r="Z4" s="15">
        <v>0</v>
      </c>
      <c r="AA4" s="4">
        <f t="shared" ref="AA4:AA19" si="5">(Y4*0.5)+X4+Z4</f>
        <v>3.78</v>
      </c>
      <c r="AB4" s="16">
        <v>5.55</v>
      </c>
      <c r="AC4" s="15">
        <f>SUM(0,0)</f>
        <v>0</v>
      </c>
      <c r="AD4" s="15">
        <v>0</v>
      </c>
      <c r="AE4" s="4">
        <f t="shared" ref="AE4:AE19" si="6">(AC4*0.5)+AB4+AD4</f>
        <v>5.55</v>
      </c>
      <c r="AF4" s="6">
        <f t="shared" ref="AF4:AF19" si="7">SUM(G4,K4,O4,S4,W4,AA4,AE4)</f>
        <v>58.739999999999995</v>
      </c>
      <c r="AG4" s="17">
        <v>1</v>
      </c>
      <c r="AH4" s="15">
        <f t="shared" ref="AH4:AH19" si="8">SUM(E4,I4,M4,Q4,U4,Y4,AC4)</f>
        <v>27</v>
      </c>
      <c r="AI4" s="18" t="str">
        <f t="shared" ref="AI4:AI19" si="9">A4</f>
        <v>Kris Sines</v>
      </c>
      <c r="AJ4" s="19"/>
      <c r="AK4" s="19"/>
      <c r="AL4" s="19"/>
      <c r="AM4" s="19"/>
    </row>
    <row r="5" spans="1:39">
      <c r="A5" s="13" t="s">
        <v>25</v>
      </c>
      <c r="B5" s="14" t="s">
        <v>24</v>
      </c>
      <c r="C5" s="15"/>
      <c r="D5" s="15">
        <v>8.2200000000000006</v>
      </c>
      <c r="E5" s="15">
        <f>SUM(0,8)</f>
        <v>8</v>
      </c>
      <c r="F5" s="15">
        <v>0</v>
      </c>
      <c r="G5" s="4">
        <f t="shared" si="0"/>
        <v>12.22</v>
      </c>
      <c r="H5" s="16">
        <v>4.3099999999999996</v>
      </c>
      <c r="I5" s="15">
        <f>SUM(1,0,0,0)</f>
        <v>1</v>
      </c>
      <c r="J5" s="15">
        <v>0</v>
      </c>
      <c r="K5" s="4">
        <f t="shared" si="1"/>
        <v>4.8099999999999996</v>
      </c>
      <c r="L5" s="16">
        <v>7.47</v>
      </c>
      <c r="M5" s="15">
        <v>7</v>
      </c>
      <c r="N5" s="15">
        <v>0</v>
      </c>
      <c r="O5" s="4">
        <f t="shared" si="2"/>
        <v>10.969999999999999</v>
      </c>
      <c r="P5" s="16">
        <v>5.21</v>
      </c>
      <c r="Q5" s="15">
        <f>SUM(1,2)</f>
        <v>3</v>
      </c>
      <c r="R5" s="15">
        <v>0</v>
      </c>
      <c r="S5" s="4">
        <f t="shared" si="3"/>
        <v>6.71</v>
      </c>
      <c r="T5" s="16">
        <f>SUM(4.85,4.57)</f>
        <v>9.42</v>
      </c>
      <c r="U5" s="15">
        <f>SUM(7,10,2,0)</f>
        <v>19</v>
      </c>
      <c r="V5" s="15">
        <v>0</v>
      </c>
      <c r="W5" s="4">
        <f t="shared" si="4"/>
        <v>18.920000000000002</v>
      </c>
      <c r="X5" s="16">
        <v>3</v>
      </c>
      <c r="Y5" s="15">
        <f>SUM(0,0)</f>
        <v>0</v>
      </c>
      <c r="Z5" s="15">
        <v>0</v>
      </c>
      <c r="AA5" s="4">
        <f t="shared" si="5"/>
        <v>3</v>
      </c>
      <c r="AB5" s="16">
        <v>4.82</v>
      </c>
      <c r="AC5" s="15">
        <f>SUM(0,1)</f>
        <v>1</v>
      </c>
      <c r="AD5" s="15">
        <v>0</v>
      </c>
      <c r="AE5" s="4">
        <f t="shared" si="6"/>
        <v>5.32</v>
      </c>
      <c r="AF5" s="6">
        <f t="shared" si="7"/>
        <v>61.95</v>
      </c>
      <c r="AG5" s="20">
        <v>2</v>
      </c>
      <c r="AH5" s="15">
        <f t="shared" si="8"/>
        <v>39</v>
      </c>
      <c r="AI5" s="18" t="str">
        <f t="shared" si="9"/>
        <v>Joseph Pitha</v>
      </c>
      <c r="AJ5" s="19"/>
      <c r="AK5" s="19"/>
      <c r="AL5" s="19"/>
      <c r="AM5" s="19"/>
    </row>
    <row r="6" spans="1:39">
      <c r="A6" s="13" t="s">
        <v>26</v>
      </c>
      <c r="B6" s="14" t="s">
        <v>24</v>
      </c>
      <c r="C6" s="15"/>
      <c r="D6" s="15">
        <v>6.69</v>
      </c>
      <c r="E6" s="15">
        <f>SUM(4,5)</f>
        <v>9</v>
      </c>
      <c r="F6" s="15">
        <v>0</v>
      </c>
      <c r="G6" s="4">
        <f t="shared" si="0"/>
        <v>11.190000000000001</v>
      </c>
      <c r="H6" s="16">
        <v>5.27</v>
      </c>
      <c r="I6" s="15">
        <f>SUM(1,0,0,0)</f>
        <v>1</v>
      </c>
      <c r="J6" s="15">
        <v>0</v>
      </c>
      <c r="K6" s="4">
        <f t="shared" si="1"/>
        <v>5.77</v>
      </c>
      <c r="L6" s="16">
        <v>5.76</v>
      </c>
      <c r="M6" s="15">
        <v>1</v>
      </c>
      <c r="N6" s="15">
        <v>0</v>
      </c>
      <c r="O6" s="4">
        <f t="shared" si="2"/>
        <v>6.26</v>
      </c>
      <c r="P6" s="16">
        <v>8.83</v>
      </c>
      <c r="Q6" s="15">
        <f>SUM(9,1)</f>
        <v>10</v>
      </c>
      <c r="R6" s="15">
        <v>0</v>
      </c>
      <c r="S6" s="4">
        <f t="shared" si="3"/>
        <v>13.83</v>
      </c>
      <c r="T6" s="16">
        <f>SUM(4.79,6.36)</f>
        <v>11.15</v>
      </c>
      <c r="U6" s="15">
        <f>SUM(2,2,5,3)</f>
        <v>12</v>
      </c>
      <c r="V6" s="15">
        <v>0</v>
      </c>
      <c r="W6" s="4">
        <f t="shared" si="4"/>
        <v>17.149999999999999</v>
      </c>
      <c r="X6" s="16">
        <v>3.28</v>
      </c>
      <c r="Y6" s="15">
        <f>SUM(0,1)</f>
        <v>1</v>
      </c>
      <c r="Z6" s="15">
        <v>0</v>
      </c>
      <c r="AA6" s="4">
        <f t="shared" si="5"/>
        <v>3.78</v>
      </c>
      <c r="AB6" s="16">
        <v>5.46</v>
      </c>
      <c r="AC6" s="15">
        <f>SUM(1,2)</f>
        <v>3</v>
      </c>
      <c r="AD6" s="15">
        <v>0</v>
      </c>
      <c r="AE6" s="4">
        <f t="shared" si="6"/>
        <v>6.96</v>
      </c>
      <c r="AF6" s="6">
        <f t="shared" si="7"/>
        <v>64.94</v>
      </c>
      <c r="AG6" s="17">
        <v>3</v>
      </c>
      <c r="AH6" s="15">
        <f t="shared" si="8"/>
        <v>37</v>
      </c>
      <c r="AI6" s="18" t="str">
        <f t="shared" si="9"/>
        <v>Joanna Lenczewska</v>
      </c>
      <c r="AJ6" s="19"/>
      <c r="AK6" s="19"/>
      <c r="AL6" s="19"/>
      <c r="AM6" s="19"/>
    </row>
    <row r="7" spans="1:39">
      <c r="A7" s="13" t="s">
        <v>27</v>
      </c>
      <c r="B7" s="14" t="s">
        <v>24</v>
      </c>
      <c r="C7" s="15"/>
      <c r="D7" s="15">
        <v>8.07</v>
      </c>
      <c r="E7" s="15">
        <f>SUM(9,0)</f>
        <v>9</v>
      </c>
      <c r="F7" s="15">
        <v>0</v>
      </c>
      <c r="G7" s="4">
        <f t="shared" si="0"/>
        <v>12.57</v>
      </c>
      <c r="H7" s="16">
        <v>4.21</v>
      </c>
      <c r="I7" s="15">
        <f>SUM(1,0,0,0)</f>
        <v>1</v>
      </c>
      <c r="J7" s="15">
        <v>0</v>
      </c>
      <c r="K7" s="4">
        <f t="shared" si="1"/>
        <v>4.71</v>
      </c>
      <c r="L7" s="16">
        <v>4.72</v>
      </c>
      <c r="M7" s="15">
        <v>1</v>
      </c>
      <c r="N7" s="15">
        <v>0</v>
      </c>
      <c r="O7" s="4">
        <f t="shared" si="2"/>
        <v>5.22</v>
      </c>
      <c r="P7" s="16">
        <v>7.03</v>
      </c>
      <c r="Q7" s="15">
        <f>SUM(5,1)</f>
        <v>6</v>
      </c>
      <c r="R7" s="15">
        <v>0</v>
      </c>
      <c r="S7" s="4">
        <f t="shared" si="3"/>
        <v>10.030000000000001</v>
      </c>
      <c r="T7" s="16">
        <f>SUM(8.47,7.59)</f>
        <v>16.060000000000002</v>
      </c>
      <c r="U7" s="15">
        <f>SUM(2,6,10,15)</f>
        <v>33</v>
      </c>
      <c r="V7" s="15">
        <v>0</v>
      </c>
      <c r="W7" s="4">
        <f t="shared" si="4"/>
        <v>32.56</v>
      </c>
      <c r="X7" s="16">
        <v>3.23</v>
      </c>
      <c r="Y7" s="15">
        <f>SUM(1,0)</f>
        <v>1</v>
      </c>
      <c r="Z7" s="15">
        <v>0</v>
      </c>
      <c r="AA7" s="4">
        <f t="shared" si="5"/>
        <v>3.73</v>
      </c>
      <c r="AB7" s="16">
        <v>6.25</v>
      </c>
      <c r="AC7" s="15">
        <f>SUM(1,0)</f>
        <v>1</v>
      </c>
      <c r="AD7" s="15">
        <v>0</v>
      </c>
      <c r="AE7" s="4">
        <f t="shared" si="6"/>
        <v>6.75</v>
      </c>
      <c r="AF7" s="6">
        <f t="shared" si="7"/>
        <v>75.570000000000007</v>
      </c>
      <c r="AG7" s="17">
        <v>4</v>
      </c>
      <c r="AH7" s="15">
        <f t="shared" si="8"/>
        <v>52</v>
      </c>
      <c r="AI7" s="18" t="str">
        <f t="shared" si="9"/>
        <v>Kenneth Ortbach</v>
      </c>
      <c r="AJ7" s="19"/>
      <c r="AK7" s="19"/>
      <c r="AL7" s="19"/>
      <c r="AM7" s="19"/>
    </row>
    <row r="8" spans="1:39">
      <c r="A8" s="13" t="s">
        <v>28</v>
      </c>
      <c r="B8" s="14" t="s">
        <v>24</v>
      </c>
      <c r="C8" s="15"/>
      <c r="D8" s="15">
        <v>7.98</v>
      </c>
      <c r="E8" s="15">
        <f>SUM(0,6)</f>
        <v>6</v>
      </c>
      <c r="F8" s="15">
        <v>0</v>
      </c>
      <c r="G8" s="4">
        <f t="shared" si="0"/>
        <v>10.98</v>
      </c>
      <c r="H8" s="16">
        <v>5.87</v>
      </c>
      <c r="I8" s="15">
        <f>SUM(8,0,0,0)</f>
        <v>8</v>
      </c>
      <c r="J8" s="15">
        <v>0</v>
      </c>
      <c r="K8" s="4">
        <f t="shared" si="1"/>
        <v>9.870000000000001</v>
      </c>
      <c r="L8" s="16">
        <v>5.05</v>
      </c>
      <c r="M8" s="15">
        <v>0</v>
      </c>
      <c r="N8" s="15">
        <v>0</v>
      </c>
      <c r="O8" s="4">
        <f t="shared" si="2"/>
        <v>5.05</v>
      </c>
      <c r="P8" s="16">
        <v>6.55</v>
      </c>
      <c r="Q8" s="15">
        <f>SUM(11,10)</f>
        <v>21</v>
      </c>
      <c r="R8" s="15">
        <v>1</v>
      </c>
      <c r="S8" s="4">
        <f t="shared" si="3"/>
        <v>18.05</v>
      </c>
      <c r="T8" s="16">
        <f>SUM(6.97,6.77)</f>
        <v>13.739999999999998</v>
      </c>
      <c r="U8" s="15">
        <f>SUM(6,1,7,2)</f>
        <v>16</v>
      </c>
      <c r="V8" s="15">
        <v>0</v>
      </c>
      <c r="W8" s="4">
        <f t="shared" si="4"/>
        <v>21.74</v>
      </c>
      <c r="X8" s="16">
        <v>3.61</v>
      </c>
      <c r="Y8" s="15">
        <f>SUM(0,0)</f>
        <v>0</v>
      </c>
      <c r="Z8" s="15">
        <v>0</v>
      </c>
      <c r="AA8" s="4">
        <f t="shared" si="5"/>
        <v>3.61</v>
      </c>
      <c r="AB8" s="16">
        <v>6.45</v>
      </c>
      <c r="AC8" s="15">
        <f>SUM(6,2)</f>
        <v>8</v>
      </c>
      <c r="AD8" s="15">
        <v>0</v>
      </c>
      <c r="AE8" s="4">
        <f t="shared" si="6"/>
        <v>10.45</v>
      </c>
      <c r="AF8" s="6">
        <f t="shared" si="7"/>
        <v>79.75</v>
      </c>
      <c r="AG8" s="21">
        <v>5</v>
      </c>
      <c r="AH8" s="15">
        <f t="shared" si="8"/>
        <v>59</v>
      </c>
      <c r="AI8" s="18" t="str">
        <f t="shared" si="9"/>
        <v>Andrew Healy</v>
      </c>
      <c r="AJ8" s="19"/>
      <c r="AK8" s="19"/>
      <c r="AL8" s="19"/>
      <c r="AM8" s="19"/>
    </row>
    <row r="9" spans="1:39">
      <c r="A9" s="13" t="s">
        <v>29</v>
      </c>
      <c r="B9" s="14" t="s">
        <v>24</v>
      </c>
      <c r="C9" s="15"/>
      <c r="D9" s="15">
        <v>11.1</v>
      </c>
      <c r="E9" s="15">
        <f>SUM(2,10)</f>
        <v>12</v>
      </c>
      <c r="F9" s="15">
        <v>0</v>
      </c>
      <c r="G9" s="4">
        <f t="shared" si="0"/>
        <v>17.100000000000001</v>
      </c>
      <c r="H9" s="16">
        <v>5.75</v>
      </c>
      <c r="I9" s="15">
        <f>SUM(1,0,0,5)</f>
        <v>6</v>
      </c>
      <c r="J9" s="15">
        <v>0</v>
      </c>
      <c r="K9" s="4">
        <f t="shared" si="1"/>
        <v>8.75</v>
      </c>
      <c r="L9" s="16">
        <v>6.04</v>
      </c>
      <c r="M9" s="15">
        <v>1</v>
      </c>
      <c r="N9" s="15">
        <v>0</v>
      </c>
      <c r="O9" s="4">
        <f t="shared" si="2"/>
        <v>6.54</v>
      </c>
      <c r="P9" s="16">
        <v>10.210000000000001</v>
      </c>
      <c r="Q9" s="15">
        <f>SUM(3,3)</f>
        <v>6</v>
      </c>
      <c r="R9" s="15">
        <v>0</v>
      </c>
      <c r="S9" s="4">
        <f t="shared" si="3"/>
        <v>13.21</v>
      </c>
      <c r="T9" s="16">
        <f>SUM(8.45,9.05)</f>
        <v>17.5</v>
      </c>
      <c r="U9" s="15">
        <f>SUM(5,0,2,4)</f>
        <v>11</v>
      </c>
      <c r="V9" s="15">
        <v>0</v>
      </c>
      <c r="W9" s="4">
        <f t="shared" si="4"/>
        <v>23</v>
      </c>
      <c r="X9" s="16">
        <v>3.5</v>
      </c>
      <c r="Y9" s="15">
        <f>SUM(0,0)</f>
        <v>0</v>
      </c>
      <c r="Z9" s="15">
        <v>1</v>
      </c>
      <c r="AA9" s="4">
        <f t="shared" si="5"/>
        <v>4.5</v>
      </c>
      <c r="AB9" s="16">
        <v>5.98</v>
      </c>
      <c r="AC9" s="15">
        <f>SUM(0,2)</f>
        <v>2</v>
      </c>
      <c r="AD9" s="15">
        <v>0</v>
      </c>
      <c r="AE9" s="4">
        <f t="shared" si="6"/>
        <v>6.98</v>
      </c>
      <c r="AF9" s="6">
        <f t="shared" si="7"/>
        <v>80.08</v>
      </c>
      <c r="AG9" s="20">
        <v>6</v>
      </c>
      <c r="AH9" s="15">
        <f t="shared" si="8"/>
        <v>38</v>
      </c>
      <c r="AI9" s="18" t="str">
        <f t="shared" si="9"/>
        <v>Tim Kirkpatrick</v>
      </c>
      <c r="AJ9" s="19"/>
      <c r="AK9" s="19"/>
      <c r="AL9" s="19"/>
      <c r="AM9" s="19"/>
    </row>
    <row r="10" spans="1:39">
      <c r="A10" s="13" t="s">
        <v>30</v>
      </c>
      <c r="B10" s="14" t="s">
        <v>24</v>
      </c>
      <c r="C10" s="15"/>
      <c r="D10" s="15">
        <v>9.8800000000000008</v>
      </c>
      <c r="E10" s="15">
        <f>SUM(6,1)</f>
        <v>7</v>
      </c>
      <c r="F10" s="15">
        <v>1</v>
      </c>
      <c r="G10" s="4">
        <f t="shared" si="0"/>
        <v>14.38</v>
      </c>
      <c r="H10" s="16">
        <v>7.07</v>
      </c>
      <c r="I10" s="15">
        <v>0</v>
      </c>
      <c r="J10" s="15">
        <v>0</v>
      </c>
      <c r="K10" s="4">
        <f t="shared" si="1"/>
        <v>7.07</v>
      </c>
      <c r="L10" s="16">
        <v>8.67</v>
      </c>
      <c r="M10" s="15">
        <v>7</v>
      </c>
      <c r="N10" s="15">
        <v>0</v>
      </c>
      <c r="O10" s="4">
        <f t="shared" si="2"/>
        <v>12.17</v>
      </c>
      <c r="P10" s="16">
        <v>8.19</v>
      </c>
      <c r="Q10" s="15">
        <f>SUM(3,6)</f>
        <v>9</v>
      </c>
      <c r="R10" s="15">
        <v>0</v>
      </c>
      <c r="S10" s="4">
        <f t="shared" si="3"/>
        <v>12.69</v>
      </c>
      <c r="T10" s="16">
        <f>SUM(6.16,7.52)</f>
        <v>13.68</v>
      </c>
      <c r="U10" s="15">
        <f>SUM(5,10,0,6)</f>
        <v>21</v>
      </c>
      <c r="V10" s="15">
        <v>0</v>
      </c>
      <c r="W10" s="4">
        <f t="shared" si="4"/>
        <v>24.18</v>
      </c>
      <c r="X10" s="16">
        <v>4.46</v>
      </c>
      <c r="Y10" s="15">
        <v>0</v>
      </c>
      <c r="Z10" s="15">
        <v>0</v>
      </c>
      <c r="AA10" s="4">
        <f t="shared" si="5"/>
        <v>4.46</v>
      </c>
      <c r="AB10" s="16">
        <v>6.32</v>
      </c>
      <c r="AC10" s="15">
        <f>SUM(1,2)</f>
        <v>3</v>
      </c>
      <c r="AD10" s="15">
        <v>0</v>
      </c>
      <c r="AE10" s="4">
        <f t="shared" si="6"/>
        <v>7.82</v>
      </c>
      <c r="AF10" s="6">
        <f t="shared" si="7"/>
        <v>82.77000000000001</v>
      </c>
      <c r="AG10" s="17">
        <v>7</v>
      </c>
      <c r="AH10" s="15">
        <f t="shared" si="8"/>
        <v>47</v>
      </c>
      <c r="AI10" s="18" t="str">
        <f t="shared" si="9"/>
        <v>Matthew Nash</v>
      </c>
      <c r="AJ10" s="19"/>
      <c r="AK10" s="19"/>
      <c r="AL10" s="19"/>
      <c r="AM10" s="19"/>
    </row>
    <row r="11" spans="1:39">
      <c r="A11" s="13" t="s">
        <v>31</v>
      </c>
      <c r="B11" s="14" t="s">
        <v>24</v>
      </c>
      <c r="C11" s="15"/>
      <c r="D11" s="15">
        <v>6.88</v>
      </c>
      <c r="E11" s="15">
        <f>SUM(6,1)</f>
        <v>7</v>
      </c>
      <c r="F11" s="15">
        <v>0</v>
      </c>
      <c r="G11" s="4">
        <f t="shared" si="0"/>
        <v>10.379999999999999</v>
      </c>
      <c r="H11" s="16">
        <v>6.03</v>
      </c>
      <c r="I11" s="15">
        <f>SUM(2,5,0,5)</f>
        <v>12</v>
      </c>
      <c r="J11" s="15">
        <v>0</v>
      </c>
      <c r="K11" s="4">
        <f t="shared" si="1"/>
        <v>12.030000000000001</v>
      </c>
      <c r="L11" s="16">
        <v>7.16</v>
      </c>
      <c r="M11" s="15">
        <v>5</v>
      </c>
      <c r="N11" s="15">
        <v>0</v>
      </c>
      <c r="O11" s="4">
        <f t="shared" si="2"/>
        <v>9.66</v>
      </c>
      <c r="P11" s="16">
        <v>8.32</v>
      </c>
      <c r="Q11" s="15">
        <f>SUM(9,0)</f>
        <v>9</v>
      </c>
      <c r="R11" s="15">
        <v>0</v>
      </c>
      <c r="S11" s="4">
        <f t="shared" si="3"/>
        <v>12.82</v>
      </c>
      <c r="T11" s="16">
        <f>SUM(6.96,8.24)</f>
        <v>15.2</v>
      </c>
      <c r="U11" s="15">
        <f>SUM(11,0,1,9)</f>
        <v>21</v>
      </c>
      <c r="V11" s="15">
        <v>0</v>
      </c>
      <c r="W11" s="4">
        <f t="shared" si="4"/>
        <v>25.7</v>
      </c>
      <c r="X11" s="16">
        <v>3.91</v>
      </c>
      <c r="Y11" s="15">
        <f>SUM(0,0)</f>
        <v>0</v>
      </c>
      <c r="Z11" s="15">
        <v>0</v>
      </c>
      <c r="AA11" s="4">
        <f t="shared" si="5"/>
        <v>3.91</v>
      </c>
      <c r="AB11" s="16">
        <v>6.45</v>
      </c>
      <c r="AC11" s="15">
        <f>SUM(7,0)</f>
        <v>7</v>
      </c>
      <c r="AD11" s="15">
        <v>0</v>
      </c>
      <c r="AE11" s="4">
        <f t="shared" si="6"/>
        <v>9.9499999999999993</v>
      </c>
      <c r="AF11" s="6">
        <f t="shared" si="7"/>
        <v>84.45</v>
      </c>
      <c r="AG11" s="17">
        <v>8</v>
      </c>
      <c r="AH11" s="15">
        <f t="shared" si="8"/>
        <v>61</v>
      </c>
      <c r="AI11" s="18" t="str">
        <f t="shared" si="9"/>
        <v>James Bacus</v>
      </c>
      <c r="AJ11" s="19"/>
      <c r="AK11" s="19"/>
      <c r="AL11" s="19"/>
      <c r="AM11" s="19"/>
    </row>
    <row r="12" spans="1:39">
      <c r="A12" s="13" t="s">
        <v>32</v>
      </c>
      <c r="B12" s="14" t="s">
        <v>24</v>
      </c>
      <c r="C12" s="15"/>
      <c r="D12" s="15">
        <v>8.66</v>
      </c>
      <c r="E12" s="22">
        <f>SUM(15,4)</f>
        <v>19</v>
      </c>
      <c r="F12" s="15">
        <v>0</v>
      </c>
      <c r="G12" s="4">
        <f t="shared" si="0"/>
        <v>18.16</v>
      </c>
      <c r="H12" s="16">
        <v>6.58</v>
      </c>
      <c r="I12" s="15">
        <v>1</v>
      </c>
      <c r="J12" s="15">
        <v>0</v>
      </c>
      <c r="K12" s="4">
        <f t="shared" si="1"/>
        <v>7.08</v>
      </c>
      <c r="L12" s="16">
        <v>8.66</v>
      </c>
      <c r="M12" s="15">
        <v>2</v>
      </c>
      <c r="N12" s="15">
        <v>0</v>
      </c>
      <c r="O12" s="4">
        <f t="shared" si="2"/>
        <v>9.66</v>
      </c>
      <c r="P12" s="16">
        <v>7.92</v>
      </c>
      <c r="Q12" s="22">
        <f>SUM(5,6)</f>
        <v>11</v>
      </c>
      <c r="R12" s="15">
        <v>0</v>
      </c>
      <c r="S12" s="4">
        <f t="shared" si="3"/>
        <v>13.42</v>
      </c>
      <c r="T12" s="16">
        <f>SUM(5.58,5.76)</f>
        <v>11.34</v>
      </c>
      <c r="U12" s="15">
        <f>SUM(4,13,4,15)</f>
        <v>36</v>
      </c>
      <c r="V12" s="15">
        <v>2</v>
      </c>
      <c r="W12" s="4">
        <f t="shared" si="4"/>
        <v>31.34</v>
      </c>
      <c r="X12" s="16">
        <v>4.1500000000000004</v>
      </c>
      <c r="Y12" s="15">
        <v>0</v>
      </c>
      <c r="Z12" s="15">
        <v>0</v>
      </c>
      <c r="AA12" s="4">
        <f t="shared" si="5"/>
        <v>4.1500000000000004</v>
      </c>
      <c r="AB12" s="16">
        <v>6.63</v>
      </c>
      <c r="AC12" s="15">
        <f>SUM(1,1)</f>
        <v>2</v>
      </c>
      <c r="AD12" s="15">
        <v>0</v>
      </c>
      <c r="AE12" s="4">
        <f t="shared" si="6"/>
        <v>7.63</v>
      </c>
      <c r="AF12" s="6">
        <f t="shared" si="7"/>
        <v>91.440000000000012</v>
      </c>
      <c r="AG12" s="23">
        <v>9</v>
      </c>
      <c r="AH12" s="15">
        <f t="shared" si="8"/>
        <v>71</v>
      </c>
      <c r="AI12" s="18" t="str">
        <f t="shared" si="9"/>
        <v>William Richards</v>
      </c>
      <c r="AJ12" s="19"/>
      <c r="AK12" s="19"/>
      <c r="AL12" s="19"/>
      <c r="AM12" s="19"/>
    </row>
    <row r="13" spans="1:39">
      <c r="A13" s="13" t="s">
        <v>33</v>
      </c>
      <c r="B13" s="14" t="s">
        <v>24</v>
      </c>
      <c r="C13" s="15"/>
      <c r="D13" s="15">
        <v>12.11</v>
      </c>
      <c r="E13" s="15">
        <f>SUM(1,9)</f>
        <v>10</v>
      </c>
      <c r="F13" s="15">
        <v>0</v>
      </c>
      <c r="G13" s="4">
        <f t="shared" si="0"/>
        <v>17.11</v>
      </c>
      <c r="H13" s="16">
        <v>8.0399999999999991</v>
      </c>
      <c r="I13" s="15">
        <f>SUM(2,0,5,0)</f>
        <v>7</v>
      </c>
      <c r="J13" s="15">
        <v>0</v>
      </c>
      <c r="K13" s="4">
        <f t="shared" si="1"/>
        <v>11.54</v>
      </c>
      <c r="L13" s="16">
        <v>7.76</v>
      </c>
      <c r="M13" s="15">
        <v>5</v>
      </c>
      <c r="N13" s="15">
        <v>0</v>
      </c>
      <c r="O13" s="4">
        <f t="shared" si="2"/>
        <v>10.26</v>
      </c>
      <c r="P13" s="16">
        <v>11.58</v>
      </c>
      <c r="Q13" s="15">
        <f>SUM(9,3)</f>
        <v>12</v>
      </c>
      <c r="R13" s="15">
        <v>0</v>
      </c>
      <c r="S13" s="4">
        <f t="shared" si="3"/>
        <v>17.579999999999998</v>
      </c>
      <c r="T13" s="16">
        <f>SUM(7.64,6)</f>
        <v>13.64</v>
      </c>
      <c r="U13" s="15">
        <f>SUM(8,10,6,6)</f>
        <v>30</v>
      </c>
      <c r="V13" s="15">
        <v>0</v>
      </c>
      <c r="W13" s="4">
        <f t="shared" si="4"/>
        <v>28.64</v>
      </c>
      <c r="X13" s="16">
        <v>5.55</v>
      </c>
      <c r="Y13" s="15">
        <f>SUM(0,0)</f>
        <v>0</v>
      </c>
      <c r="Z13" s="15">
        <v>1</v>
      </c>
      <c r="AA13" s="4">
        <f t="shared" si="5"/>
        <v>6.55</v>
      </c>
      <c r="AB13" s="16">
        <v>7.28</v>
      </c>
      <c r="AC13" s="15">
        <f>SUM(0,6)</f>
        <v>6</v>
      </c>
      <c r="AD13" s="15">
        <v>0</v>
      </c>
      <c r="AE13" s="4">
        <f t="shared" si="6"/>
        <v>10.280000000000001</v>
      </c>
      <c r="AF13" s="6">
        <f t="shared" si="7"/>
        <v>101.96</v>
      </c>
      <c r="AG13" s="17">
        <v>10</v>
      </c>
      <c r="AH13" s="15">
        <f t="shared" si="8"/>
        <v>70</v>
      </c>
      <c r="AI13" s="18" t="str">
        <f t="shared" si="9"/>
        <v>William Davis</v>
      </c>
      <c r="AJ13" s="19"/>
      <c r="AK13" s="19"/>
      <c r="AL13" s="19"/>
      <c r="AM13" s="19"/>
    </row>
    <row r="14" spans="1:39">
      <c r="A14" s="13" t="s">
        <v>34</v>
      </c>
      <c r="B14" s="14" t="s">
        <v>24</v>
      </c>
      <c r="C14" s="15"/>
      <c r="D14" s="15">
        <v>9.64</v>
      </c>
      <c r="E14" s="15">
        <f>SUM(5,11)</f>
        <v>16</v>
      </c>
      <c r="F14" s="15">
        <v>0</v>
      </c>
      <c r="G14" s="4">
        <f t="shared" si="0"/>
        <v>17.64</v>
      </c>
      <c r="H14" s="16">
        <v>8.61</v>
      </c>
      <c r="I14" s="15">
        <f>SUM(2,0,0,0)</f>
        <v>2</v>
      </c>
      <c r="J14" s="15">
        <v>0</v>
      </c>
      <c r="K14" s="4">
        <f t="shared" si="1"/>
        <v>9.61</v>
      </c>
      <c r="L14" s="16">
        <v>9.5</v>
      </c>
      <c r="M14" s="15">
        <v>0</v>
      </c>
      <c r="N14" s="15">
        <v>0</v>
      </c>
      <c r="O14" s="4">
        <f t="shared" si="2"/>
        <v>9.5</v>
      </c>
      <c r="P14" s="16">
        <v>8.82</v>
      </c>
      <c r="Q14" s="15">
        <f>SUM(7,5)</f>
        <v>12</v>
      </c>
      <c r="R14" s="15">
        <v>0</v>
      </c>
      <c r="S14" s="4">
        <f t="shared" si="3"/>
        <v>14.82</v>
      </c>
      <c r="T14" s="16">
        <f>SUM(11.61,9.81)</f>
        <v>21.42</v>
      </c>
      <c r="U14" s="15">
        <f>SUM(6,2,10,15)</f>
        <v>33</v>
      </c>
      <c r="V14" s="15">
        <v>0</v>
      </c>
      <c r="W14" s="4">
        <f t="shared" si="4"/>
        <v>37.92</v>
      </c>
      <c r="X14" s="16">
        <v>5.92</v>
      </c>
      <c r="Y14" s="15">
        <f>SUM(0)</f>
        <v>0</v>
      </c>
      <c r="Z14" s="15">
        <v>2</v>
      </c>
      <c r="AA14" s="4">
        <f t="shared" si="5"/>
        <v>7.92</v>
      </c>
      <c r="AB14" s="16">
        <v>7.9</v>
      </c>
      <c r="AC14" s="15">
        <f>SUM(7,5)</f>
        <v>12</v>
      </c>
      <c r="AD14" s="15">
        <v>0</v>
      </c>
      <c r="AE14" s="4">
        <f t="shared" si="6"/>
        <v>13.9</v>
      </c>
      <c r="AF14" s="6">
        <f t="shared" si="7"/>
        <v>111.31000000000002</v>
      </c>
      <c r="AG14" s="17">
        <v>11</v>
      </c>
      <c r="AH14" s="15">
        <f t="shared" si="8"/>
        <v>75</v>
      </c>
      <c r="AI14" s="18" t="str">
        <f t="shared" si="9"/>
        <v>Walt Schneck</v>
      </c>
      <c r="AJ14" s="19"/>
      <c r="AK14" s="19"/>
      <c r="AL14" s="19"/>
      <c r="AM14" s="19"/>
    </row>
    <row r="15" spans="1:39">
      <c r="A15" s="13" t="s">
        <v>35</v>
      </c>
      <c r="B15" s="14" t="s">
        <v>24</v>
      </c>
      <c r="C15" s="15"/>
      <c r="D15" s="15">
        <v>10.47</v>
      </c>
      <c r="E15" s="15">
        <f>SUM(4,11)</f>
        <v>15</v>
      </c>
      <c r="F15" s="15">
        <v>0</v>
      </c>
      <c r="G15" s="4">
        <f t="shared" si="0"/>
        <v>17.97</v>
      </c>
      <c r="H15" s="16">
        <v>9.1199999999999992</v>
      </c>
      <c r="I15" s="15">
        <f>SUM(1,0,0,0)</f>
        <v>1</v>
      </c>
      <c r="J15" s="15">
        <v>0</v>
      </c>
      <c r="K15" s="4">
        <f t="shared" si="1"/>
        <v>9.6199999999999992</v>
      </c>
      <c r="L15" s="16">
        <v>7.62</v>
      </c>
      <c r="M15" s="15">
        <v>5</v>
      </c>
      <c r="N15" s="15">
        <v>0</v>
      </c>
      <c r="O15" s="4">
        <f t="shared" si="2"/>
        <v>10.120000000000001</v>
      </c>
      <c r="P15" s="16">
        <v>13.08</v>
      </c>
      <c r="Q15" s="15">
        <f>SUM(7,6)</f>
        <v>13</v>
      </c>
      <c r="R15" s="15">
        <v>0</v>
      </c>
      <c r="S15" s="4">
        <f t="shared" si="3"/>
        <v>19.579999999999998</v>
      </c>
      <c r="T15" s="16">
        <f>SUM(13.96,12.05)</f>
        <v>26.01</v>
      </c>
      <c r="U15" s="15">
        <f>SUM(0,6,10,15)</f>
        <v>31</v>
      </c>
      <c r="V15" s="15">
        <v>0</v>
      </c>
      <c r="W15" s="4">
        <f t="shared" si="4"/>
        <v>41.510000000000005</v>
      </c>
      <c r="X15" s="16">
        <v>3.77</v>
      </c>
      <c r="Y15" s="15">
        <f>SUM(0,0)</f>
        <v>0</v>
      </c>
      <c r="Z15" s="15">
        <v>0</v>
      </c>
      <c r="AA15" s="4">
        <f t="shared" si="5"/>
        <v>3.77</v>
      </c>
      <c r="AB15" s="16">
        <v>9.91</v>
      </c>
      <c r="AC15" s="15">
        <f>SUM(0,1)</f>
        <v>1</v>
      </c>
      <c r="AD15" s="15">
        <v>0</v>
      </c>
      <c r="AE15" s="4">
        <f t="shared" si="6"/>
        <v>10.41</v>
      </c>
      <c r="AF15" s="6">
        <f t="shared" si="7"/>
        <v>112.97999999999999</v>
      </c>
      <c r="AG15" s="17">
        <v>12</v>
      </c>
      <c r="AH15" s="15">
        <f t="shared" si="8"/>
        <v>66</v>
      </c>
      <c r="AI15" s="18" t="str">
        <f t="shared" si="9"/>
        <v>Stephen Demcher</v>
      </c>
      <c r="AJ15" s="19"/>
      <c r="AK15" s="19"/>
      <c r="AL15" s="19"/>
      <c r="AM15" s="19"/>
    </row>
    <row r="16" spans="1:39">
      <c r="A16" s="13" t="s">
        <v>36</v>
      </c>
      <c r="B16" s="14" t="s">
        <v>24</v>
      </c>
      <c r="C16" s="15"/>
      <c r="D16" s="15">
        <v>10.29</v>
      </c>
      <c r="E16" s="15">
        <f>SUM(2,9)</f>
        <v>11</v>
      </c>
      <c r="F16" s="15">
        <v>0</v>
      </c>
      <c r="G16" s="4">
        <f t="shared" si="0"/>
        <v>15.79</v>
      </c>
      <c r="H16" s="16">
        <v>7.9</v>
      </c>
      <c r="I16" s="15">
        <f>SUM(0,10)</f>
        <v>10</v>
      </c>
      <c r="J16" s="15">
        <v>0</v>
      </c>
      <c r="K16" s="4">
        <f t="shared" si="1"/>
        <v>12.9</v>
      </c>
      <c r="L16" s="16">
        <v>11.9</v>
      </c>
      <c r="M16" s="15">
        <v>7</v>
      </c>
      <c r="N16" s="15">
        <v>0</v>
      </c>
      <c r="O16" s="4">
        <f t="shared" si="2"/>
        <v>15.4</v>
      </c>
      <c r="P16" s="16">
        <v>11.68</v>
      </c>
      <c r="Q16" s="15">
        <f>SUM(9,10)</f>
        <v>19</v>
      </c>
      <c r="R16" s="15">
        <v>0</v>
      </c>
      <c r="S16" s="4">
        <f t="shared" si="3"/>
        <v>21.18</v>
      </c>
      <c r="T16" s="16">
        <f>SUM(10.33,3.44)</f>
        <v>13.77</v>
      </c>
      <c r="U16" s="15">
        <f>SUM(11,0,13,11)</f>
        <v>35</v>
      </c>
      <c r="V16" s="15">
        <v>0</v>
      </c>
      <c r="W16" s="4">
        <f t="shared" si="4"/>
        <v>31.27</v>
      </c>
      <c r="X16" s="16">
        <v>4.4000000000000004</v>
      </c>
      <c r="Y16" s="15">
        <f>SUM(0,1)</f>
        <v>1</v>
      </c>
      <c r="Z16" s="15">
        <v>0</v>
      </c>
      <c r="AA16" s="4">
        <f t="shared" si="5"/>
        <v>4.9000000000000004</v>
      </c>
      <c r="AB16" s="16">
        <v>8.31</v>
      </c>
      <c r="AC16" s="15">
        <f>SUM(5,6)</f>
        <v>11</v>
      </c>
      <c r="AD16" s="15">
        <v>0</v>
      </c>
      <c r="AE16" s="4">
        <f t="shared" si="6"/>
        <v>13.81</v>
      </c>
      <c r="AF16" s="6">
        <f t="shared" si="7"/>
        <v>115.25</v>
      </c>
      <c r="AG16" s="17">
        <v>13</v>
      </c>
      <c r="AH16" s="15">
        <f t="shared" si="8"/>
        <v>94</v>
      </c>
      <c r="AI16" s="18" t="str">
        <f t="shared" si="9"/>
        <v>John Healy</v>
      </c>
      <c r="AJ16" s="19"/>
      <c r="AK16" s="19"/>
      <c r="AL16" s="19"/>
      <c r="AM16" s="19"/>
    </row>
    <row r="17" spans="1:39">
      <c r="A17" s="13" t="s">
        <v>37</v>
      </c>
      <c r="B17" s="14" t="s">
        <v>24</v>
      </c>
      <c r="C17" s="15"/>
      <c r="D17" s="16">
        <v>9.9700000000000006</v>
      </c>
      <c r="E17" s="15">
        <f>SUM(11,6)</f>
        <v>17</v>
      </c>
      <c r="F17" s="15">
        <v>0</v>
      </c>
      <c r="G17" s="4">
        <f t="shared" si="0"/>
        <v>18.47</v>
      </c>
      <c r="H17" s="16">
        <v>9.27</v>
      </c>
      <c r="I17" s="15">
        <f>SUM(0,0,0,0)</f>
        <v>0</v>
      </c>
      <c r="J17" s="15">
        <v>0</v>
      </c>
      <c r="K17" s="4">
        <f t="shared" si="1"/>
        <v>9.27</v>
      </c>
      <c r="L17" s="16">
        <v>5.85</v>
      </c>
      <c r="M17" s="15">
        <v>0</v>
      </c>
      <c r="N17" s="15">
        <v>0</v>
      </c>
      <c r="O17" s="4">
        <f t="shared" si="2"/>
        <v>5.85</v>
      </c>
      <c r="P17" s="16">
        <v>12.11</v>
      </c>
      <c r="Q17" s="15">
        <f>SUM(10,6)</f>
        <v>16</v>
      </c>
      <c r="R17" s="15">
        <v>0</v>
      </c>
      <c r="S17" s="4">
        <f t="shared" si="3"/>
        <v>20.11</v>
      </c>
      <c r="T17" s="16">
        <f>SUM(17.84,23.85)</f>
        <v>41.69</v>
      </c>
      <c r="U17" s="15">
        <f>SUM(11,8,4,0)</f>
        <v>23</v>
      </c>
      <c r="V17" s="15">
        <v>0</v>
      </c>
      <c r="W17" s="4">
        <f t="shared" si="4"/>
        <v>53.19</v>
      </c>
      <c r="X17" s="16">
        <v>6.37</v>
      </c>
      <c r="Y17" s="15">
        <f>SUM(0,0)</f>
        <v>0</v>
      </c>
      <c r="Z17" s="15">
        <v>0</v>
      </c>
      <c r="AA17" s="4">
        <f t="shared" si="5"/>
        <v>6.37</v>
      </c>
      <c r="AB17" s="16">
        <v>11.36</v>
      </c>
      <c r="AC17" s="15">
        <f>SUM(0,5)</f>
        <v>5</v>
      </c>
      <c r="AD17" s="15">
        <v>0</v>
      </c>
      <c r="AE17" s="4">
        <f t="shared" si="6"/>
        <v>13.86</v>
      </c>
      <c r="AF17" s="6">
        <f t="shared" si="7"/>
        <v>127.11999999999999</v>
      </c>
      <c r="AG17" s="17">
        <v>14</v>
      </c>
      <c r="AH17" s="15">
        <f t="shared" si="8"/>
        <v>61</v>
      </c>
      <c r="AI17" s="18" t="str">
        <f t="shared" si="9"/>
        <v>George Hartsell</v>
      </c>
      <c r="AJ17" s="19"/>
      <c r="AK17" s="19"/>
      <c r="AL17" s="19"/>
      <c r="AM17" s="19"/>
    </row>
    <row r="18" spans="1:39">
      <c r="A18" s="13" t="s">
        <v>38</v>
      </c>
      <c r="B18" s="14" t="s">
        <v>24</v>
      </c>
      <c r="C18" s="15"/>
      <c r="D18" s="15">
        <v>9.57</v>
      </c>
      <c r="E18" s="15">
        <f>SUM(10,15)</f>
        <v>25</v>
      </c>
      <c r="F18" s="15">
        <v>0</v>
      </c>
      <c r="G18" s="4">
        <f t="shared" si="0"/>
        <v>22.07</v>
      </c>
      <c r="H18" s="16">
        <v>9.34</v>
      </c>
      <c r="I18" s="15">
        <f>SUM(0,0,5,10)</f>
        <v>15</v>
      </c>
      <c r="J18" s="15">
        <v>0</v>
      </c>
      <c r="K18" s="4">
        <f t="shared" si="1"/>
        <v>16.84</v>
      </c>
      <c r="L18" s="16">
        <v>9.5500000000000007</v>
      </c>
      <c r="M18" s="15">
        <v>15</v>
      </c>
      <c r="N18" s="15">
        <v>0</v>
      </c>
      <c r="O18" s="4">
        <f t="shared" si="2"/>
        <v>17.05</v>
      </c>
      <c r="P18" s="16">
        <v>13.81</v>
      </c>
      <c r="Q18" s="15">
        <f>SUM(10,15)</f>
        <v>25</v>
      </c>
      <c r="R18" s="15">
        <v>0</v>
      </c>
      <c r="S18" s="4">
        <f t="shared" si="3"/>
        <v>26.310000000000002</v>
      </c>
      <c r="T18" s="16">
        <f>SUM(6.56,11.06)</f>
        <v>17.62</v>
      </c>
      <c r="U18" s="15">
        <f>SUM(8,1,3,0,9)</f>
        <v>21</v>
      </c>
      <c r="V18" s="15">
        <v>0</v>
      </c>
      <c r="W18" s="4">
        <f t="shared" si="4"/>
        <v>28.12</v>
      </c>
      <c r="X18" s="16">
        <v>5.14</v>
      </c>
      <c r="Y18" s="15">
        <f>SUM(4,1)</f>
        <v>5</v>
      </c>
      <c r="Z18" s="15">
        <v>0</v>
      </c>
      <c r="AA18" s="4">
        <f t="shared" si="5"/>
        <v>7.64</v>
      </c>
      <c r="AB18" s="16">
        <v>6.85</v>
      </c>
      <c r="AC18" s="15">
        <f>SUM(7,5)</f>
        <v>12</v>
      </c>
      <c r="AD18" s="15">
        <v>0</v>
      </c>
      <c r="AE18" s="4">
        <f t="shared" si="6"/>
        <v>12.85</v>
      </c>
      <c r="AF18" s="6">
        <f t="shared" si="7"/>
        <v>130.88</v>
      </c>
      <c r="AG18" s="17">
        <v>15</v>
      </c>
      <c r="AH18" s="15">
        <f t="shared" si="8"/>
        <v>118</v>
      </c>
      <c r="AI18" s="18" t="str">
        <f t="shared" si="9"/>
        <v>Ryan Williams</v>
      </c>
      <c r="AJ18" s="19"/>
      <c r="AK18" s="19"/>
      <c r="AL18" s="19"/>
      <c r="AM18" s="19"/>
    </row>
    <row r="19" spans="1:39">
      <c r="A19" s="24" t="s">
        <v>39</v>
      </c>
      <c r="B19" s="25" t="s">
        <v>24</v>
      </c>
      <c r="C19" s="26"/>
      <c r="D19" s="26">
        <v>11.97</v>
      </c>
      <c r="E19" s="26">
        <f>SUM(2,8)</f>
        <v>10</v>
      </c>
      <c r="F19" s="26">
        <v>0</v>
      </c>
      <c r="G19" s="27">
        <f t="shared" si="0"/>
        <v>16.97</v>
      </c>
      <c r="H19" s="28">
        <v>10.34</v>
      </c>
      <c r="I19" s="26">
        <f>SUM(4,0,10)</f>
        <v>14</v>
      </c>
      <c r="J19" s="26">
        <v>0</v>
      </c>
      <c r="K19" s="27">
        <f t="shared" si="1"/>
        <v>17.34</v>
      </c>
      <c r="L19" s="28">
        <v>9.0299999999999994</v>
      </c>
      <c r="M19" s="26">
        <v>1</v>
      </c>
      <c r="N19" s="26">
        <v>0</v>
      </c>
      <c r="O19" s="27">
        <f t="shared" si="2"/>
        <v>9.5299999999999994</v>
      </c>
      <c r="P19" s="28">
        <v>9.94</v>
      </c>
      <c r="Q19" s="26">
        <f>SUM(1,6)</f>
        <v>7</v>
      </c>
      <c r="R19" s="26">
        <v>0</v>
      </c>
      <c r="S19" s="27">
        <f t="shared" si="3"/>
        <v>13.44</v>
      </c>
      <c r="T19" s="29">
        <f>SUM(18.75,17.19)</f>
        <v>35.94</v>
      </c>
      <c r="U19" s="26">
        <f>SUM(11,11,15,15)</f>
        <v>52</v>
      </c>
      <c r="V19" s="26">
        <v>0</v>
      </c>
      <c r="W19" s="27">
        <f t="shared" si="4"/>
        <v>61.94</v>
      </c>
      <c r="X19" s="28">
        <v>5.97</v>
      </c>
      <c r="Y19" s="26">
        <f>SUM(0,0)</f>
        <v>0</v>
      </c>
      <c r="Z19" s="26">
        <v>0</v>
      </c>
      <c r="AA19" s="27">
        <f t="shared" si="5"/>
        <v>5.97</v>
      </c>
      <c r="AB19" s="28">
        <v>7.98</v>
      </c>
      <c r="AC19" s="26">
        <f>SUM(6,5)</f>
        <v>11</v>
      </c>
      <c r="AD19" s="26">
        <v>0</v>
      </c>
      <c r="AE19" s="27">
        <f t="shared" si="6"/>
        <v>13.48</v>
      </c>
      <c r="AF19" s="30">
        <f t="shared" si="7"/>
        <v>138.66999999999999</v>
      </c>
      <c r="AG19" s="31">
        <v>16</v>
      </c>
      <c r="AH19" s="26">
        <f t="shared" si="8"/>
        <v>95</v>
      </c>
      <c r="AI19" s="32" t="str">
        <f t="shared" si="9"/>
        <v>Buddy Pittman</v>
      </c>
      <c r="AJ19" s="19"/>
      <c r="AK19" s="19"/>
      <c r="AL19" s="19"/>
      <c r="AM19" s="19"/>
    </row>
    <row r="20" spans="1:39">
      <c r="A20" s="33"/>
      <c r="B20" s="34"/>
      <c r="C20" s="35"/>
      <c r="D20" s="35"/>
      <c r="E20" s="35"/>
      <c r="F20" s="35"/>
      <c r="G20" s="36"/>
      <c r="H20" s="37"/>
      <c r="I20" s="35"/>
      <c r="J20" s="35"/>
      <c r="K20" s="36"/>
      <c r="L20" s="37"/>
      <c r="M20" s="35"/>
      <c r="N20" s="35"/>
      <c r="O20" s="36"/>
      <c r="P20" s="37"/>
      <c r="Q20" s="35"/>
      <c r="R20" s="35"/>
      <c r="S20" s="36"/>
      <c r="T20" s="37"/>
      <c r="U20" s="35"/>
      <c r="V20" s="35"/>
      <c r="W20" s="36"/>
      <c r="X20" s="37"/>
      <c r="Y20" s="35"/>
      <c r="Z20" s="35"/>
      <c r="AA20" s="36"/>
      <c r="AB20" s="37"/>
      <c r="AC20" s="35"/>
      <c r="AD20" s="35"/>
      <c r="AE20" s="36"/>
      <c r="AF20" s="36"/>
      <c r="AG20" s="35"/>
      <c r="AH20" s="35"/>
      <c r="AI20" s="38"/>
      <c r="AJ20" s="19"/>
      <c r="AK20" s="19"/>
      <c r="AL20" s="19"/>
      <c r="AM20" s="19"/>
    </row>
    <row r="21" spans="1:39">
      <c r="A21" s="39"/>
      <c r="B21" s="40"/>
      <c r="C21" s="41"/>
      <c r="D21" s="41"/>
      <c r="E21" s="41"/>
      <c r="F21" s="41"/>
      <c r="G21" s="42"/>
      <c r="H21" s="43"/>
      <c r="I21" s="41"/>
      <c r="J21" s="41"/>
      <c r="K21" s="42"/>
      <c r="L21" s="43"/>
      <c r="M21" s="41"/>
      <c r="N21" s="41"/>
      <c r="O21" s="42"/>
      <c r="P21" s="43"/>
      <c r="Q21" s="41"/>
      <c r="R21" s="41"/>
      <c r="S21" s="42"/>
      <c r="T21" s="43"/>
      <c r="U21" s="41"/>
      <c r="V21" s="41"/>
      <c r="W21" s="42"/>
      <c r="X21" s="43"/>
      <c r="Y21" s="41"/>
      <c r="Z21" s="41"/>
      <c r="AA21" s="42"/>
      <c r="AB21" s="43"/>
      <c r="AC21" s="41"/>
      <c r="AD21" s="41"/>
      <c r="AE21" s="42"/>
      <c r="AF21" s="42"/>
      <c r="AG21" s="41"/>
      <c r="AH21" s="41"/>
      <c r="AI21" s="44"/>
      <c r="AJ21" s="19"/>
      <c r="AK21" s="19"/>
      <c r="AL21" s="19"/>
      <c r="AM21" s="19"/>
    </row>
    <row r="22" spans="1:39">
      <c r="A22" s="39"/>
      <c r="B22" s="40"/>
      <c r="C22" s="41"/>
      <c r="D22" s="41"/>
      <c r="E22" s="41"/>
      <c r="F22" s="41"/>
      <c r="G22" s="42"/>
      <c r="H22" s="43"/>
      <c r="I22" s="41"/>
      <c r="J22" s="41"/>
      <c r="K22" s="42"/>
      <c r="L22" s="43"/>
      <c r="M22" s="41"/>
      <c r="N22" s="41"/>
      <c r="O22" s="42"/>
      <c r="P22" s="43"/>
      <c r="Q22" s="41"/>
      <c r="R22" s="41"/>
      <c r="S22" s="42"/>
      <c r="T22" s="43"/>
      <c r="U22" s="41"/>
      <c r="V22" s="41"/>
      <c r="W22" s="42"/>
      <c r="X22" s="43"/>
      <c r="Y22" s="41"/>
      <c r="Z22" s="41"/>
      <c r="AA22" s="42"/>
      <c r="AB22" s="43"/>
      <c r="AC22" s="41"/>
      <c r="AD22" s="41"/>
      <c r="AE22" s="42"/>
      <c r="AF22" s="42"/>
      <c r="AG22" s="41"/>
      <c r="AH22" s="41"/>
      <c r="AI22" s="44"/>
      <c r="AJ22" s="19"/>
      <c r="AK22" s="19"/>
      <c r="AL22" s="19"/>
      <c r="AM22" s="19"/>
    </row>
    <row r="23" spans="1:39">
      <c r="A23" s="39"/>
      <c r="B23" s="40"/>
      <c r="C23" s="41"/>
      <c r="D23" s="41"/>
      <c r="E23" s="41"/>
      <c r="F23" s="41"/>
      <c r="G23" s="42"/>
      <c r="H23" s="43"/>
      <c r="I23" s="41"/>
      <c r="J23" s="41"/>
      <c r="K23" s="42"/>
      <c r="L23" s="43"/>
      <c r="M23" s="41"/>
      <c r="N23" s="41"/>
      <c r="O23" s="42"/>
      <c r="P23" s="43"/>
      <c r="Q23" s="41"/>
      <c r="R23" s="41"/>
      <c r="S23" s="42"/>
      <c r="T23" s="43"/>
      <c r="U23" s="41"/>
      <c r="V23" s="41"/>
      <c r="W23" s="42"/>
      <c r="X23" s="43"/>
      <c r="Y23" s="41"/>
      <c r="Z23" s="41"/>
      <c r="AA23" s="42"/>
      <c r="AB23" s="43"/>
      <c r="AC23" s="41"/>
      <c r="AD23" s="41"/>
      <c r="AE23" s="42"/>
      <c r="AF23" s="42"/>
      <c r="AG23" s="41"/>
      <c r="AH23" s="41"/>
      <c r="AI23" s="44"/>
      <c r="AJ23" s="19"/>
      <c r="AK23" s="19"/>
      <c r="AL23" s="19"/>
      <c r="AM23" s="19"/>
    </row>
    <row r="24" spans="1:39">
      <c r="A24" s="39"/>
      <c r="B24" s="40"/>
      <c r="C24" s="41"/>
      <c r="D24" s="41"/>
      <c r="E24" s="41"/>
      <c r="F24" s="41"/>
      <c r="G24" s="42"/>
      <c r="H24" s="43"/>
      <c r="I24" s="41"/>
      <c r="J24" s="41"/>
      <c r="K24" s="42"/>
      <c r="L24" s="43"/>
      <c r="M24" s="41"/>
      <c r="N24" s="41"/>
      <c r="O24" s="42"/>
      <c r="P24" s="43"/>
      <c r="Q24" s="41"/>
      <c r="R24" s="41"/>
      <c r="S24" s="42"/>
      <c r="T24" s="43"/>
      <c r="U24" s="41"/>
      <c r="V24" s="41"/>
      <c r="W24" s="42"/>
      <c r="X24" s="43"/>
      <c r="Y24" s="41"/>
      <c r="Z24" s="41"/>
      <c r="AA24" s="42"/>
      <c r="AB24" s="43"/>
      <c r="AC24" s="41"/>
      <c r="AD24" s="41"/>
      <c r="AE24" s="42"/>
      <c r="AF24" s="42"/>
      <c r="AG24" s="45"/>
      <c r="AH24" s="41"/>
      <c r="AI24" s="44"/>
      <c r="AJ24" s="19"/>
      <c r="AK24" s="19"/>
      <c r="AL24" s="19"/>
      <c r="AM24" s="19"/>
    </row>
    <row r="25" spans="1:39">
      <c r="A25" s="13" t="s">
        <v>40</v>
      </c>
      <c r="B25" s="14" t="s">
        <v>41</v>
      </c>
      <c r="C25" s="15"/>
      <c r="D25" s="15">
        <v>8.1999999999999993</v>
      </c>
      <c r="E25" s="15">
        <f>SUM(1,5)</f>
        <v>6</v>
      </c>
      <c r="F25" s="15">
        <v>0</v>
      </c>
      <c r="G25" s="4">
        <f t="shared" ref="G25:G51" si="10">(E25*0.5)+F25+D25</f>
        <v>11.2</v>
      </c>
      <c r="H25" s="16">
        <v>4.8</v>
      </c>
      <c r="I25" s="15">
        <f>SUM(0,0,0,0)</f>
        <v>0</v>
      </c>
      <c r="J25" s="15">
        <v>0</v>
      </c>
      <c r="K25" s="4">
        <f t="shared" ref="K25:K51" si="11">(I25*0.5)+H25+J25</f>
        <v>4.8</v>
      </c>
      <c r="L25" s="16">
        <v>5.89</v>
      </c>
      <c r="M25" s="15">
        <v>0</v>
      </c>
      <c r="N25" s="15">
        <v>0</v>
      </c>
      <c r="O25" s="4">
        <f t="shared" ref="O25:O51" si="12">(M25*0.5)+L25+N25</f>
        <v>5.89</v>
      </c>
      <c r="P25" s="16">
        <v>6.19</v>
      </c>
      <c r="Q25" s="15">
        <f>SUM(1,6)</f>
        <v>7</v>
      </c>
      <c r="R25" s="15">
        <v>0</v>
      </c>
      <c r="S25" s="4">
        <f t="shared" ref="S25:S51" si="13">(Q25*0.5)+P25+R25</f>
        <v>9.6900000000000013</v>
      </c>
      <c r="T25" s="16">
        <f>SUM(4.95,5.05)</f>
        <v>10</v>
      </c>
      <c r="U25" s="15">
        <f>SUM(0,1,0,0)</f>
        <v>1</v>
      </c>
      <c r="V25" s="15">
        <v>0</v>
      </c>
      <c r="W25" s="4">
        <f t="shared" ref="W25:W51" si="14">(U25*0.5)+T25+V25</f>
        <v>10.5</v>
      </c>
      <c r="X25" s="16">
        <v>3.08</v>
      </c>
      <c r="Y25" s="15">
        <f>SUM(0,0)</f>
        <v>0</v>
      </c>
      <c r="Z25" s="15">
        <v>0</v>
      </c>
      <c r="AA25" s="4">
        <f t="shared" ref="AA25:AA51" si="15">(Y25*0.5)+X25+Z25</f>
        <v>3.08</v>
      </c>
      <c r="AB25" s="16">
        <v>5</v>
      </c>
      <c r="AC25" s="15">
        <v>0</v>
      </c>
      <c r="AD25" s="15">
        <v>0</v>
      </c>
      <c r="AE25" s="4">
        <f t="shared" ref="AE25:AE51" si="16">(AC25*0.5)+AB25+AD25</f>
        <v>5</v>
      </c>
      <c r="AF25" s="6">
        <f t="shared" ref="AF25:AF51" si="17">SUM(G25,K25,O25,S25,W25,AA25,AE25)</f>
        <v>50.16</v>
      </c>
      <c r="AG25" s="15">
        <v>1</v>
      </c>
      <c r="AH25" s="15">
        <f t="shared" ref="AH25:AH51" si="18">SUM(E25,I25,M25,Q25,U25,Y25,AC25)</f>
        <v>14</v>
      </c>
      <c r="AI25" s="18" t="str">
        <f t="shared" ref="AI25:AI51" si="19">A25</f>
        <v>John Plum</v>
      </c>
      <c r="AJ25" s="19"/>
      <c r="AK25" s="19"/>
      <c r="AL25" s="19"/>
      <c r="AM25" s="19"/>
    </row>
    <row r="26" spans="1:39">
      <c r="A26" s="13" t="s">
        <v>42</v>
      </c>
      <c r="B26" s="14" t="s">
        <v>41</v>
      </c>
      <c r="C26" s="15"/>
      <c r="D26" s="15">
        <v>6.72</v>
      </c>
      <c r="E26" s="15">
        <f>SUM(6,8)</f>
        <v>14</v>
      </c>
      <c r="F26" s="15">
        <v>0</v>
      </c>
      <c r="G26" s="4">
        <f t="shared" si="10"/>
        <v>13.719999999999999</v>
      </c>
      <c r="H26" s="16">
        <v>4.84</v>
      </c>
      <c r="I26" s="15">
        <v>0</v>
      </c>
      <c r="J26" s="15">
        <v>1</v>
      </c>
      <c r="K26" s="4">
        <f t="shared" si="11"/>
        <v>5.84</v>
      </c>
      <c r="L26" s="16">
        <v>4.5999999999999996</v>
      </c>
      <c r="M26" s="15">
        <v>0</v>
      </c>
      <c r="N26" s="15">
        <v>0</v>
      </c>
      <c r="O26" s="4">
        <f t="shared" si="12"/>
        <v>4.5999999999999996</v>
      </c>
      <c r="P26" s="16">
        <v>5.72</v>
      </c>
      <c r="Q26" s="15">
        <f>SUM(5,2)</f>
        <v>7</v>
      </c>
      <c r="R26" s="15">
        <v>0</v>
      </c>
      <c r="S26" s="4">
        <f t="shared" si="13"/>
        <v>9.2199999999999989</v>
      </c>
      <c r="T26" s="16">
        <f>SUM(5.1,4.95)</f>
        <v>10.050000000000001</v>
      </c>
      <c r="U26" s="15">
        <f>SUM(0,0,1,0)</f>
        <v>1</v>
      </c>
      <c r="V26" s="15">
        <v>0</v>
      </c>
      <c r="W26" s="4">
        <f t="shared" si="14"/>
        <v>10.55</v>
      </c>
      <c r="X26" s="16">
        <v>3.55</v>
      </c>
      <c r="Y26" s="15">
        <v>0</v>
      </c>
      <c r="Z26" s="15">
        <v>0</v>
      </c>
      <c r="AA26" s="4">
        <f t="shared" si="15"/>
        <v>3.55</v>
      </c>
      <c r="AB26" s="16">
        <v>4.6900000000000004</v>
      </c>
      <c r="AC26" s="15">
        <f>SUM(1,0)</f>
        <v>1</v>
      </c>
      <c r="AD26" s="15">
        <v>0</v>
      </c>
      <c r="AE26" s="4">
        <f t="shared" si="16"/>
        <v>5.19</v>
      </c>
      <c r="AF26" s="6">
        <f t="shared" si="17"/>
        <v>52.669999999999987</v>
      </c>
      <c r="AG26" s="46">
        <v>2</v>
      </c>
      <c r="AH26" s="15">
        <f t="shared" si="18"/>
        <v>23</v>
      </c>
      <c r="AI26" s="18" t="str">
        <f t="shared" si="19"/>
        <v>Tom Yost</v>
      </c>
      <c r="AJ26" s="19"/>
      <c r="AK26" s="19"/>
      <c r="AL26" s="19"/>
      <c r="AM26" s="19"/>
    </row>
    <row r="27" spans="1:39">
      <c r="A27" s="13" t="s">
        <v>43</v>
      </c>
      <c r="B27" s="14" t="s">
        <v>41</v>
      </c>
      <c r="C27" s="15"/>
      <c r="D27" s="15">
        <v>8.1300000000000008</v>
      </c>
      <c r="E27" s="15">
        <f>SUM(4,1)</f>
        <v>5</v>
      </c>
      <c r="F27" s="15">
        <v>0</v>
      </c>
      <c r="G27" s="4">
        <f t="shared" si="10"/>
        <v>10.63</v>
      </c>
      <c r="H27" s="16">
        <v>5.0599999999999996</v>
      </c>
      <c r="I27" s="15">
        <f>SUM(1,0,0,0)</f>
        <v>1</v>
      </c>
      <c r="J27" s="15">
        <v>0</v>
      </c>
      <c r="K27" s="4">
        <f t="shared" si="11"/>
        <v>5.56</v>
      </c>
      <c r="L27" s="16">
        <v>6.36</v>
      </c>
      <c r="M27" s="15">
        <v>8</v>
      </c>
      <c r="N27" s="15">
        <v>0</v>
      </c>
      <c r="O27" s="4">
        <f t="shared" si="12"/>
        <v>10.36</v>
      </c>
      <c r="P27" s="16">
        <v>6.59</v>
      </c>
      <c r="Q27" s="15">
        <f>SUM(6,1)</f>
        <v>7</v>
      </c>
      <c r="R27" s="15">
        <v>0</v>
      </c>
      <c r="S27" s="4">
        <f t="shared" si="13"/>
        <v>10.09</v>
      </c>
      <c r="T27" s="16">
        <f>SUM(4.21,4.73)</f>
        <v>8.9400000000000013</v>
      </c>
      <c r="U27" s="15">
        <f>SUM(1,0,3,2)</f>
        <v>6</v>
      </c>
      <c r="V27" s="15">
        <v>0</v>
      </c>
      <c r="W27" s="4">
        <f t="shared" si="14"/>
        <v>11.940000000000001</v>
      </c>
      <c r="X27" s="16">
        <v>3.66</v>
      </c>
      <c r="Y27" s="15">
        <f>SUM(0,0)</f>
        <v>0</v>
      </c>
      <c r="Z27" s="15">
        <v>0</v>
      </c>
      <c r="AA27" s="4">
        <f t="shared" si="15"/>
        <v>3.66</v>
      </c>
      <c r="AB27" s="16">
        <v>5.64</v>
      </c>
      <c r="AC27" s="15">
        <f>SUM(1,0)</f>
        <v>1</v>
      </c>
      <c r="AD27" s="15">
        <v>0</v>
      </c>
      <c r="AE27" s="4">
        <f t="shared" si="16"/>
        <v>6.14</v>
      </c>
      <c r="AF27" s="6">
        <f t="shared" si="17"/>
        <v>58.379999999999995</v>
      </c>
      <c r="AG27" s="15">
        <v>3</v>
      </c>
      <c r="AH27" s="15">
        <f t="shared" si="18"/>
        <v>28</v>
      </c>
      <c r="AI27" s="18" t="str">
        <f t="shared" si="19"/>
        <v>Tim Bacus</v>
      </c>
      <c r="AJ27" s="19"/>
      <c r="AK27" s="19"/>
      <c r="AL27" s="19"/>
      <c r="AM27" s="19"/>
    </row>
    <row r="28" spans="1:39">
      <c r="A28" s="13" t="s">
        <v>44</v>
      </c>
      <c r="B28" s="14" t="s">
        <v>41</v>
      </c>
      <c r="C28" s="15"/>
      <c r="D28" s="15">
        <v>7.94</v>
      </c>
      <c r="E28" s="15">
        <f>SUM(10,3)</f>
        <v>13</v>
      </c>
      <c r="F28" s="15">
        <v>0</v>
      </c>
      <c r="G28" s="4">
        <f t="shared" si="10"/>
        <v>14.440000000000001</v>
      </c>
      <c r="H28" s="16">
        <v>9.4499999999999993</v>
      </c>
      <c r="I28" s="15">
        <v>1</v>
      </c>
      <c r="J28" s="15">
        <v>0</v>
      </c>
      <c r="K28" s="4">
        <f t="shared" si="11"/>
        <v>9.9499999999999993</v>
      </c>
      <c r="L28" s="16">
        <v>5.54</v>
      </c>
      <c r="M28" s="15">
        <v>2</v>
      </c>
      <c r="N28" s="15">
        <v>0</v>
      </c>
      <c r="O28" s="4">
        <f t="shared" si="12"/>
        <v>6.54</v>
      </c>
      <c r="P28" s="16">
        <v>6.62</v>
      </c>
      <c r="Q28" s="15">
        <f>SUM(1,4)</f>
        <v>5</v>
      </c>
      <c r="R28" s="15">
        <v>0</v>
      </c>
      <c r="S28" s="4">
        <f t="shared" si="13"/>
        <v>9.120000000000001</v>
      </c>
      <c r="T28" s="16">
        <f>SUM(4.53,5.58)</f>
        <v>10.11</v>
      </c>
      <c r="U28" s="15">
        <f>SUM(1,1,1,0)</f>
        <v>3</v>
      </c>
      <c r="V28" s="15">
        <v>0</v>
      </c>
      <c r="W28" s="4">
        <f t="shared" si="14"/>
        <v>11.61</v>
      </c>
      <c r="X28" s="16">
        <v>3.2</v>
      </c>
      <c r="Y28" s="22">
        <f>SUM(0,0)</f>
        <v>0</v>
      </c>
      <c r="Z28" s="15">
        <v>0</v>
      </c>
      <c r="AA28" s="4">
        <f t="shared" si="15"/>
        <v>3.2</v>
      </c>
      <c r="AB28" s="16">
        <v>4.7300000000000004</v>
      </c>
      <c r="AC28" s="15">
        <f>SUM(1,0)</f>
        <v>1</v>
      </c>
      <c r="AD28" s="15">
        <v>0</v>
      </c>
      <c r="AE28" s="4">
        <f t="shared" si="16"/>
        <v>5.23</v>
      </c>
      <c r="AF28" s="6">
        <f t="shared" si="17"/>
        <v>60.09</v>
      </c>
      <c r="AG28" s="15">
        <v>4</v>
      </c>
      <c r="AH28" s="15">
        <f t="shared" si="18"/>
        <v>25</v>
      </c>
      <c r="AI28" s="18" t="str">
        <f t="shared" si="19"/>
        <v>David Girardin</v>
      </c>
      <c r="AJ28" s="19"/>
      <c r="AK28" s="19"/>
      <c r="AL28" s="19"/>
      <c r="AM28" s="19"/>
    </row>
    <row r="29" spans="1:39">
      <c r="A29" s="13" t="s">
        <v>45</v>
      </c>
      <c r="B29" s="14" t="s">
        <v>41</v>
      </c>
      <c r="C29" s="15"/>
      <c r="D29" s="15">
        <v>9.76</v>
      </c>
      <c r="E29" s="15">
        <f>SUM(2,7)</f>
        <v>9</v>
      </c>
      <c r="F29" s="15">
        <v>0</v>
      </c>
      <c r="G29" s="4">
        <f t="shared" si="10"/>
        <v>14.26</v>
      </c>
      <c r="H29" s="16">
        <v>5.86</v>
      </c>
      <c r="I29" s="15">
        <f>SUM(0,0,0,0)</f>
        <v>0</v>
      </c>
      <c r="J29" s="15">
        <v>0</v>
      </c>
      <c r="K29" s="4">
        <f t="shared" si="11"/>
        <v>5.86</v>
      </c>
      <c r="L29" s="16">
        <v>5.35</v>
      </c>
      <c r="M29" s="15">
        <v>2</v>
      </c>
      <c r="N29" s="15">
        <v>0</v>
      </c>
      <c r="O29" s="4">
        <f t="shared" si="12"/>
        <v>6.35</v>
      </c>
      <c r="P29" s="16">
        <v>8.98</v>
      </c>
      <c r="Q29" s="15">
        <f>SUM(1,0)</f>
        <v>1</v>
      </c>
      <c r="R29" s="15">
        <v>0</v>
      </c>
      <c r="S29" s="4">
        <f t="shared" si="13"/>
        <v>9.48</v>
      </c>
      <c r="T29" s="16">
        <f>SUM(5.8,9.48)</f>
        <v>15.280000000000001</v>
      </c>
      <c r="U29" s="15">
        <f>SUM(0,0,1,)</f>
        <v>1</v>
      </c>
      <c r="V29" s="15">
        <v>0</v>
      </c>
      <c r="W29" s="4">
        <f t="shared" si="14"/>
        <v>15.780000000000001</v>
      </c>
      <c r="X29" s="16">
        <v>3.49</v>
      </c>
      <c r="Y29" s="15">
        <v>0</v>
      </c>
      <c r="Z29" s="15">
        <v>0</v>
      </c>
      <c r="AA29" s="4">
        <f t="shared" si="15"/>
        <v>3.49</v>
      </c>
      <c r="AB29" s="16">
        <v>6.23</v>
      </c>
      <c r="AC29" s="15">
        <v>0</v>
      </c>
      <c r="AD29" s="15">
        <v>0</v>
      </c>
      <c r="AE29" s="4">
        <f t="shared" si="16"/>
        <v>6.23</v>
      </c>
      <c r="AF29" s="6">
        <f t="shared" si="17"/>
        <v>61.45</v>
      </c>
      <c r="AG29" s="15">
        <v>5</v>
      </c>
      <c r="AH29" s="15">
        <f t="shared" si="18"/>
        <v>13</v>
      </c>
      <c r="AI29" s="18" t="str">
        <f t="shared" si="19"/>
        <v>Tom Richards</v>
      </c>
      <c r="AJ29" s="19"/>
      <c r="AK29" s="19"/>
      <c r="AL29" s="19"/>
      <c r="AM29" s="19"/>
    </row>
    <row r="30" spans="1:39">
      <c r="A30" s="13" t="s">
        <v>46</v>
      </c>
      <c r="B30" s="14" t="s">
        <v>41</v>
      </c>
      <c r="C30" s="15"/>
      <c r="D30" s="15">
        <v>8.4700000000000006</v>
      </c>
      <c r="E30" s="15">
        <f>SUM(1,6)</f>
        <v>7</v>
      </c>
      <c r="F30" s="15">
        <v>0</v>
      </c>
      <c r="G30" s="4">
        <f t="shared" si="10"/>
        <v>11.97</v>
      </c>
      <c r="H30" s="16">
        <v>4.9400000000000004</v>
      </c>
      <c r="I30" s="15">
        <f>SUM(1,0,0,0)</f>
        <v>1</v>
      </c>
      <c r="J30" s="15">
        <v>0</v>
      </c>
      <c r="K30" s="4">
        <f t="shared" si="11"/>
        <v>5.44</v>
      </c>
      <c r="L30" s="16">
        <v>5.35</v>
      </c>
      <c r="M30" s="15">
        <v>1</v>
      </c>
      <c r="N30" s="15">
        <v>0</v>
      </c>
      <c r="O30" s="4">
        <f t="shared" si="12"/>
        <v>5.85</v>
      </c>
      <c r="P30" s="16">
        <v>6.85</v>
      </c>
      <c r="Q30" s="15">
        <f>SUM(7,0)</f>
        <v>7</v>
      </c>
      <c r="R30" s="15">
        <v>0</v>
      </c>
      <c r="S30" s="4">
        <f t="shared" si="13"/>
        <v>10.35</v>
      </c>
      <c r="T30" s="16">
        <f>SUM(5.18,6.78)</f>
        <v>11.96</v>
      </c>
      <c r="U30" s="15">
        <f>SUM(5,0,5,4)</f>
        <v>14</v>
      </c>
      <c r="V30" s="15">
        <v>0</v>
      </c>
      <c r="W30" s="4">
        <f t="shared" si="14"/>
        <v>18.96</v>
      </c>
      <c r="X30" s="16">
        <v>2.85</v>
      </c>
      <c r="Y30" s="15">
        <f>SUM(0,0)</f>
        <v>0</v>
      </c>
      <c r="Z30" s="15">
        <v>0</v>
      </c>
      <c r="AA30" s="4">
        <f t="shared" si="15"/>
        <v>2.85</v>
      </c>
      <c r="AB30" s="16">
        <v>5.66</v>
      </c>
      <c r="AC30" s="15">
        <f>SUM(0,1)</f>
        <v>1</v>
      </c>
      <c r="AD30" s="15">
        <v>0</v>
      </c>
      <c r="AE30" s="4">
        <f t="shared" si="16"/>
        <v>6.16</v>
      </c>
      <c r="AF30" s="6">
        <f t="shared" si="17"/>
        <v>61.58</v>
      </c>
      <c r="AG30" s="15">
        <v>6</v>
      </c>
      <c r="AH30" s="15">
        <f t="shared" si="18"/>
        <v>31</v>
      </c>
      <c r="AI30" s="18" t="str">
        <f t="shared" si="19"/>
        <v>Steve Sherman</v>
      </c>
      <c r="AJ30" s="19"/>
      <c r="AK30" s="19"/>
      <c r="AL30" s="19"/>
      <c r="AM30" s="19"/>
    </row>
    <row r="31" spans="1:39">
      <c r="A31" s="13" t="s">
        <v>47</v>
      </c>
      <c r="B31" s="14" t="s">
        <v>41</v>
      </c>
      <c r="C31" s="15"/>
      <c r="D31" s="15">
        <v>7.19</v>
      </c>
      <c r="E31" s="15">
        <f>SUM(5,2)</f>
        <v>7</v>
      </c>
      <c r="F31" s="15">
        <v>0</v>
      </c>
      <c r="G31" s="4">
        <f t="shared" si="10"/>
        <v>10.690000000000001</v>
      </c>
      <c r="H31" s="16">
        <v>3.95</v>
      </c>
      <c r="I31" s="15">
        <f>SUM(1,0,0,0)</f>
        <v>1</v>
      </c>
      <c r="J31" s="15">
        <v>0</v>
      </c>
      <c r="K31" s="4">
        <f t="shared" si="11"/>
        <v>4.45</v>
      </c>
      <c r="L31" s="16">
        <v>4.9000000000000004</v>
      </c>
      <c r="M31" s="15">
        <v>0</v>
      </c>
      <c r="N31" s="15">
        <v>0</v>
      </c>
      <c r="O31" s="4">
        <f t="shared" si="12"/>
        <v>4.9000000000000004</v>
      </c>
      <c r="P31" s="16">
        <v>4.51</v>
      </c>
      <c r="Q31" s="15">
        <f>SUM(0,5)</f>
        <v>5</v>
      </c>
      <c r="R31" s="15">
        <v>0</v>
      </c>
      <c r="S31" s="4">
        <f t="shared" si="13"/>
        <v>7.01</v>
      </c>
      <c r="T31" s="16">
        <f>SUM(6.18,8)</f>
        <v>14.18</v>
      </c>
      <c r="U31" s="15">
        <f>SUM(0,8,6,10)</f>
        <v>24</v>
      </c>
      <c r="V31" s="15">
        <v>0</v>
      </c>
      <c r="W31" s="4">
        <f t="shared" si="14"/>
        <v>26.18</v>
      </c>
      <c r="X31" s="16">
        <v>3.53</v>
      </c>
      <c r="Y31" s="15">
        <f>SUM(0,0)</f>
        <v>0</v>
      </c>
      <c r="Z31" s="15">
        <v>0</v>
      </c>
      <c r="AA31" s="4">
        <f t="shared" si="15"/>
        <v>3.53</v>
      </c>
      <c r="AB31" s="16">
        <v>4.3600000000000003</v>
      </c>
      <c r="AC31" s="15">
        <f>SUM(0,1)</f>
        <v>1</v>
      </c>
      <c r="AD31" s="15">
        <v>0</v>
      </c>
      <c r="AE31" s="4">
        <f t="shared" si="16"/>
        <v>4.8600000000000003</v>
      </c>
      <c r="AF31" s="6">
        <f t="shared" si="17"/>
        <v>61.62</v>
      </c>
      <c r="AG31" s="46">
        <v>7</v>
      </c>
      <c r="AH31" s="15">
        <f t="shared" si="18"/>
        <v>38</v>
      </c>
      <c r="AI31" s="18" t="str">
        <f t="shared" si="19"/>
        <v>Don Hall</v>
      </c>
      <c r="AJ31" s="19"/>
      <c r="AK31" s="19"/>
      <c r="AL31" s="19"/>
      <c r="AM31" s="19"/>
    </row>
    <row r="32" spans="1:39">
      <c r="A32" s="13" t="s">
        <v>48</v>
      </c>
      <c r="B32" s="14" t="s">
        <v>41</v>
      </c>
      <c r="C32" s="15"/>
      <c r="D32" s="15">
        <v>10.81</v>
      </c>
      <c r="E32" s="15">
        <f>SUM(10,7)</f>
        <v>17</v>
      </c>
      <c r="F32" s="15">
        <v>0</v>
      </c>
      <c r="G32" s="4">
        <f t="shared" si="10"/>
        <v>19.310000000000002</v>
      </c>
      <c r="H32" s="16">
        <v>4.9000000000000004</v>
      </c>
      <c r="I32" s="15">
        <f>SUM(0,0,0,0)</f>
        <v>0</v>
      </c>
      <c r="J32" s="15">
        <v>0</v>
      </c>
      <c r="K32" s="4">
        <f t="shared" si="11"/>
        <v>4.9000000000000004</v>
      </c>
      <c r="L32" s="16">
        <v>6.19</v>
      </c>
      <c r="M32" s="15">
        <v>0</v>
      </c>
      <c r="N32" s="15">
        <v>0</v>
      </c>
      <c r="O32" s="4">
        <f t="shared" si="12"/>
        <v>6.19</v>
      </c>
      <c r="P32" s="16">
        <v>7.55</v>
      </c>
      <c r="Q32" s="15">
        <f>SUM(0,1)</f>
        <v>1</v>
      </c>
      <c r="R32" s="15">
        <v>0</v>
      </c>
      <c r="S32" s="4">
        <f t="shared" si="13"/>
        <v>8.0500000000000007</v>
      </c>
      <c r="T32" s="16">
        <f>SUM(4.68,7.98)</f>
        <v>12.66</v>
      </c>
      <c r="U32" s="15">
        <f>SUM(0,0,3,0)</f>
        <v>3</v>
      </c>
      <c r="V32" s="15">
        <v>0</v>
      </c>
      <c r="W32" s="4">
        <f t="shared" si="14"/>
        <v>14.16</v>
      </c>
      <c r="X32" s="16">
        <v>3.81</v>
      </c>
      <c r="Y32" s="15">
        <f>SUM(0,0)</f>
        <v>0</v>
      </c>
      <c r="Z32" s="15">
        <v>0</v>
      </c>
      <c r="AA32" s="4">
        <f t="shared" si="15"/>
        <v>3.81</v>
      </c>
      <c r="AB32" s="16">
        <v>5.35</v>
      </c>
      <c r="AC32" s="15">
        <f>SUM(0,0)</f>
        <v>0</v>
      </c>
      <c r="AD32" s="15">
        <v>0</v>
      </c>
      <c r="AE32" s="4">
        <f t="shared" si="16"/>
        <v>5.35</v>
      </c>
      <c r="AF32" s="6">
        <f t="shared" si="17"/>
        <v>61.77</v>
      </c>
      <c r="AG32" s="15">
        <v>8</v>
      </c>
      <c r="AH32" s="15">
        <f t="shared" si="18"/>
        <v>21</v>
      </c>
      <c r="AI32" s="18" t="str">
        <f t="shared" si="19"/>
        <v>Fred Rios</v>
      </c>
      <c r="AJ32" s="41"/>
      <c r="AK32" s="41"/>
      <c r="AL32" s="41"/>
      <c r="AM32" s="42"/>
    </row>
    <row r="33" spans="1:39">
      <c r="A33" s="13" t="s">
        <v>49</v>
      </c>
      <c r="B33" s="14" t="s">
        <v>41</v>
      </c>
      <c r="C33" s="15"/>
      <c r="D33" s="15">
        <v>7.57</v>
      </c>
      <c r="E33" s="15">
        <f>SUM(0,3)</f>
        <v>3</v>
      </c>
      <c r="F33" s="15">
        <v>0</v>
      </c>
      <c r="G33" s="4">
        <f t="shared" si="10"/>
        <v>9.07</v>
      </c>
      <c r="H33" s="16">
        <v>7.76</v>
      </c>
      <c r="I33" s="15">
        <f>SUM(1,0,0,0)</f>
        <v>1</v>
      </c>
      <c r="J33" s="15">
        <v>0</v>
      </c>
      <c r="K33" s="4">
        <f t="shared" si="11"/>
        <v>8.26</v>
      </c>
      <c r="L33" s="16">
        <v>5.0599999999999996</v>
      </c>
      <c r="M33" s="15">
        <v>1</v>
      </c>
      <c r="N33" s="15">
        <v>0</v>
      </c>
      <c r="O33" s="4">
        <f t="shared" si="12"/>
        <v>5.56</v>
      </c>
      <c r="P33" s="16">
        <v>5.44</v>
      </c>
      <c r="Q33" s="15">
        <f>SUM(0,10,7)</f>
        <v>17</v>
      </c>
      <c r="R33" s="15">
        <v>0</v>
      </c>
      <c r="S33" s="4">
        <f t="shared" si="13"/>
        <v>13.940000000000001</v>
      </c>
      <c r="T33" s="16">
        <f>SUM(7.57,7.55)</f>
        <v>15.120000000000001</v>
      </c>
      <c r="U33" s="15">
        <f>SUM(0,1,5,0)</f>
        <v>6</v>
      </c>
      <c r="V33" s="15">
        <v>0</v>
      </c>
      <c r="W33" s="4">
        <f t="shared" si="14"/>
        <v>18.12</v>
      </c>
      <c r="X33" s="16">
        <v>3.65</v>
      </c>
      <c r="Y33" s="15">
        <f>SUM(0,0)</f>
        <v>0</v>
      </c>
      <c r="Z33" s="15">
        <v>0</v>
      </c>
      <c r="AA33" s="4">
        <f t="shared" si="15"/>
        <v>3.65</v>
      </c>
      <c r="AB33" s="16">
        <v>5.83</v>
      </c>
      <c r="AC33" s="15">
        <f>SUM(2,0)</f>
        <v>2</v>
      </c>
      <c r="AD33" s="15">
        <v>0</v>
      </c>
      <c r="AE33" s="4">
        <f t="shared" si="16"/>
        <v>6.83</v>
      </c>
      <c r="AF33" s="6">
        <f t="shared" si="17"/>
        <v>65.430000000000007</v>
      </c>
      <c r="AG33" s="15">
        <v>9</v>
      </c>
      <c r="AH33" s="15">
        <f t="shared" si="18"/>
        <v>30</v>
      </c>
      <c r="AI33" s="18" t="str">
        <f t="shared" si="19"/>
        <v>Anthony Wojtyla</v>
      </c>
      <c r="AJ33" s="41"/>
      <c r="AK33" s="41"/>
      <c r="AL33" s="41"/>
    </row>
    <row r="34" spans="1:39">
      <c r="A34" s="13" t="s">
        <v>50</v>
      </c>
      <c r="B34" s="14" t="s">
        <v>41</v>
      </c>
      <c r="C34" s="15"/>
      <c r="D34" s="15">
        <v>8.1</v>
      </c>
      <c r="E34" s="15">
        <f>SUM(2,0)</f>
        <v>2</v>
      </c>
      <c r="F34" s="15">
        <v>0</v>
      </c>
      <c r="G34" s="4">
        <f t="shared" si="10"/>
        <v>9.1</v>
      </c>
      <c r="H34" s="16">
        <v>7.66</v>
      </c>
      <c r="I34" s="15">
        <f>SUM(5,0,0,2)</f>
        <v>7</v>
      </c>
      <c r="J34" s="15">
        <v>0</v>
      </c>
      <c r="K34" s="4">
        <f t="shared" si="11"/>
        <v>11.16</v>
      </c>
      <c r="L34" s="16">
        <v>6.74</v>
      </c>
      <c r="M34" s="15">
        <v>0</v>
      </c>
      <c r="N34" s="15">
        <v>0</v>
      </c>
      <c r="O34" s="4">
        <f t="shared" si="12"/>
        <v>6.74</v>
      </c>
      <c r="P34" s="16">
        <v>12.54</v>
      </c>
      <c r="Q34" s="15">
        <f>SUM(1,3)</f>
        <v>4</v>
      </c>
      <c r="R34" s="15">
        <v>0</v>
      </c>
      <c r="S34" s="4">
        <f t="shared" si="13"/>
        <v>14.54</v>
      </c>
      <c r="T34" s="16">
        <f>SUM(6.55,8.02)</f>
        <v>14.57</v>
      </c>
      <c r="U34" s="15">
        <f>SUM(0,0,4,1)</f>
        <v>5</v>
      </c>
      <c r="V34" s="15">
        <v>0</v>
      </c>
      <c r="W34" s="4">
        <f t="shared" si="14"/>
        <v>17.07</v>
      </c>
      <c r="X34" s="16">
        <v>3.21</v>
      </c>
      <c r="Y34" s="15">
        <f>SUM(0,0)</f>
        <v>0</v>
      </c>
      <c r="Z34" s="15">
        <v>0</v>
      </c>
      <c r="AA34" s="4">
        <f t="shared" si="15"/>
        <v>3.21</v>
      </c>
      <c r="AB34" s="16">
        <v>6.25</v>
      </c>
      <c r="AC34" s="15">
        <f>SUM(1,0)</f>
        <v>1</v>
      </c>
      <c r="AD34" s="15">
        <v>0</v>
      </c>
      <c r="AE34" s="4">
        <f t="shared" si="16"/>
        <v>6.75</v>
      </c>
      <c r="AF34" s="6">
        <f t="shared" si="17"/>
        <v>68.569999999999993</v>
      </c>
      <c r="AG34" s="47">
        <v>10</v>
      </c>
      <c r="AH34" s="15">
        <f t="shared" si="18"/>
        <v>19</v>
      </c>
      <c r="AI34" s="18" t="str">
        <f t="shared" si="19"/>
        <v>Jeff Lesko</v>
      </c>
      <c r="AJ34" s="19"/>
      <c r="AK34" s="19"/>
      <c r="AL34" s="19"/>
      <c r="AM34" s="19"/>
    </row>
    <row r="35" spans="1:39">
      <c r="A35" s="13" t="s">
        <v>51</v>
      </c>
      <c r="B35" s="14" t="s">
        <v>41</v>
      </c>
      <c r="C35" s="15"/>
      <c r="D35" s="15">
        <v>5.87</v>
      </c>
      <c r="E35" s="15">
        <f>SUM(2,2)</f>
        <v>4</v>
      </c>
      <c r="F35" s="15">
        <v>0</v>
      </c>
      <c r="G35" s="4">
        <f t="shared" si="10"/>
        <v>7.87</v>
      </c>
      <c r="H35" s="16">
        <v>5.46</v>
      </c>
      <c r="I35" s="15">
        <f>SUM(2,0,0,0)</f>
        <v>2</v>
      </c>
      <c r="J35" s="15">
        <v>0</v>
      </c>
      <c r="K35" s="4">
        <f t="shared" si="11"/>
        <v>6.46</v>
      </c>
      <c r="L35" s="16">
        <v>6.94</v>
      </c>
      <c r="M35" s="15">
        <v>10</v>
      </c>
      <c r="N35" s="15">
        <v>0</v>
      </c>
      <c r="O35" s="4">
        <f t="shared" si="12"/>
        <v>11.940000000000001</v>
      </c>
      <c r="P35" s="16">
        <v>7.04</v>
      </c>
      <c r="Q35" s="15">
        <f>SUM(3,4)</f>
        <v>7</v>
      </c>
      <c r="R35" s="15">
        <v>0</v>
      </c>
      <c r="S35" s="4">
        <f t="shared" si="13"/>
        <v>10.54</v>
      </c>
      <c r="T35" s="16">
        <f>SUM(5.25,4.8)</f>
        <v>10.050000000000001</v>
      </c>
      <c r="U35" s="15">
        <f>SUM(7,1,10,5)</f>
        <v>23</v>
      </c>
      <c r="V35" s="15">
        <v>0</v>
      </c>
      <c r="W35" s="4">
        <f t="shared" si="14"/>
        <v>21.55</v>
      </c>
      <c r="X35" s="16">
        <v>3.91</v>
      </c>
      <c r="Y35" s="15">
        <f>SUM(5,0)</f>
        <v>5</v>
      </c>
      <c r="Z35" s="15">
        <v>1</v>
      </c>
      <c r="AA35" s="4">
        <f t="shared" si="15"/>
        <v>7.41</v>
      </c>
      <c r="AB35" s="16">
        <v>5.26</v>
      </c>
      <c r="AC35" s="15">
        <f>SUM(1,0)</f>
        <v>1</v>
      </c>
      <c r="AD35" s="15">
        <v>0</v>
      </c>
      <c r="AE35" s="4">
        <f t="shared" si="16"/>
        <v>5.76</v>
      </c>
      <c r="AF35" s="6">
        <f t="shared" si="17"/>
        <v>71.53</v>
      </c>
      <c r="AG35" s="15">
        <v>11</v>
      </c>
      <c r="AH35" s="15">
        <f t="shared" si="18"/>
        <v>52</v>
      </c>
      <c r="AI35" s="18" t="str">
        <f t="shared" si="19"/>
        <v>James Bambu</v>
      </c>
      <c r="AJ35" s="19"/>
      <c r="AK35" s="19"/>
      <c r="AL35" s="19"/>
      <c r="AM35" s="19"/>
    </row>
    <row r="36" spans="1:39">
      <c r="A36" s="13" t="s">
        <v>52</v>
      </c>
      <c r="B36" s="14" t="s">
        <v>41</v>
      </c>
      <c r="C36" s="15"/>
      <c r="D36" s="15">
        <v>6.99</v>
      </c>
      <c r="E36" s="15">
        <f>SUM(0,1)</f>
        <v>1</v>
      </c>
      <c r="F36" s="15">
        <v>0</v>
      </c>
      <c r="G36" s="4">
        <f t="shared" si="10"/>
        <v>7.49</v>
      </c>
      <c r="H36" s="16">
        <v>5.08</v>
      </c>
      <c r="I36" s="15">
        <f>SUM(1,0,0,5)</f>
        <v>6</v>
      </c>
      <c r="J36" s="15">
        <v>0</v>
      </c>
      <c r="K36" s="4">
        <f t="shared" si="11"/>
        <v>8.08</v>
      </c>
      <c r="L36" s="16">
        <v>5.81</v>
      </c>
      <c r="M36" s="15">
        <v>8</v>
      </c>
      <c r="N36" s="15">
        <v>0</v>
      </c>
      <c r="O36" s="4">
        <f t="shared" si="12"/>
        <v>9.8099999999999987</v>
      </c>
      <c r="P36" s="16">
        <v>7.08</v>
      </c>
      <c r="Q36" s="15">
        <f>SUM(1,1)</f>
        <v>2</v>
      </c>
      <c r="R36" s="15">
        <v>0</v>
      </c>
      <c r="S36" s="4">
        <f t="shared" si="13"/>
        <v>8.08</v>
      </c>
      <c r="T36" s="16">
        <f>SUM(6.6,8.33)</f>
        <v>14.93</v>
      </c>
      <c r="U36" s="15">
        <f>SUM(9,8,6,6)</f>
        <v>29</v>
      </c>
      <c r="V36" s="15">
        <v>0</v>
      </c>
      <c r="W36" s="4">
        <f t="shared" si="14"/>
        <v>29.43</v>
      </c>
      <c r="X36" s="16">
        <v>3.72</v>
      </c>
      <c r="Y36" s="15">
        <f>SUM(0,0)</f>
        <v>0</v>
      </c>
      <c r="Z36" s="15">
        <v>0</v>
      </c>
      <c r="AA36" s="4">
        <f t="shared" si="15"/>
        <v>3.72</v>
      </c>
      <c r="AB36" s="16">
        <v>5.5</v>
      </c>
      <c r="AC36" s="15">
        <f>SUM(0,0)</f>
        <v>0</v>
      </c>
      <c r="AD36" s="15">
        <v>0</v>
      </c>
      <c r="AE36" s="4">
        <f t="shared" si="16"/>
        <v>5.5</v>
      </c>
      <c r="AF36" s="6">
        <f t="shared" si="17"/>
        <v>72.11</v>
      </c>
      <c r="AG36" s="48">
        <v>12</v>
      </c>
      <c r="AH36" s="15">
        <f t="shared" si="18"/>
        <v>46</v>
      </c>
      <c r="AI36" s="18" t="str">
        <f t="shared" si="19"/>
        <v>Cameron Green</v>
      </c>
      <c r="AJ36" s="19"/>
      <c r="AK36" s="19"/>
      <c r="AL36" s="19"/>
      <c r="AM36" s="19"/>
    </row>
    <row r="37" spans="1:39">
      <c r="A37" s="13" t="s">
        <v>53</v>
      </c>
      <c r="B37" s="14" t="s">
        <v>41</v>
      </c>
      <c r="C37" s="15"/>
      <c r="D37" s="15">
        <v>8.01</v>
      </c>
      <c r="E37" s="15">
        <f>SUM(10,0)</f>
        <v>10</v>
      </c>
      <c r="F37" s="15">
        <v>0</v>
      </c>
      <c r="G37" s="4">
        <f t="shared" si="10"/>
        <v>13.01</v>
      </c>
      <c r="H37" s="16">
        <v>4.04</v>
      </c>
      <c r="I37" s="15">
        <v>4</v>
      </c>
      <c r="J37" s="15">
        <v>0</v>
      </c>
      <c r="K37" s="4">
        <f t="shared" si="11"/>
        <v>6.04</v>
      </c>
      <c r="L37" s="16">
        <v>5.45</v>
      </c>
      <c r="M37" s="15">
        <v>4</v>
      </c>
      <c r="N37" s="15">
        <v>0</v>
      </c>
      <c r="O37" s="4">
        <f t="shared" si="12"/>
        <v>7.45</v>
      </c>
      <c r="P37" s="16">
        <v>9.4499999999999993</v>
      </c>
      <c r="Q37" s="15">
        <f>SUM(3,1)</f>
        <v>4</v>
      </c>
      <c r="R37" s="15">
        <v>0</v>
      </c>
      <c r="S37" s="4">
        <f t="shared" si="13"/>
        <v>11.45</v>
      </c>
      <c r="T37" s="16">
        <f>SUM(7.49,11.71)</f>
        <v>19.200000000000003</v>
      </c>
      <c r="U37" s="15">
        <f>SUM(0,1,8,6)</f>
        <v>15</v>
      </c>
      <c r="V37" s="15">
        <v>0</v>
      </c>
      <c r="W37" s="4">
        <f t="shared" si="14"/>
        <v>26.700000000000003</v>
      </c>
      <c r="X37" s="16">
        <v>3.49</v>
      </c>
      <c r="Y37" s="15">
        <v>0</v>
      </c>
      <c r="Z37" s="15">
        <v>0</v>
      </c>
      <c r="AA37" s="4">
        <f t="shared" si="15"/>
        <v>3.49</v>
      </c>
      <c r="AB37" s="16">
        <v>4.72</v>
      </c>
      <c r="AC37" s="15">
        <f>SUM(1,2)</f>
        <v>3</v>
      </c>
      <c r="AD37" s="15">
        <v>0</v>
      </c>
      <c r="AE37" s="4">
        <f t="shared" si="16"/>
        <v>6.22</v>
      </c>
      <c r="AF37" s="6">
        <f t="shared" si="17"/>
        <v>74.36</v>
      </c>
      <c r="AG37" s="15">
        <v>13</v>
      </c>
      <c r="AH37" s="15">
        <f t="shared" si="18"/>
        <v>40</v>
      </c>
      <c r="AI37" s="18" t="str">
        <f t="shared" si="19"/>
        <v>Frank Lindsay, Jr</v>
      </c>
      <c r="AJ37" s="19"/>
      <c r="AK37" s="19"/>
      <c r="AL37" s="19"/>
      <c r="AM37" s="19"/>
    </row>
    <row r="38" spans="1:39">
      <c r="A38" s="13" t="s">
        <v>54</v>
      </c>
      <c r="B38" s="14" t="s">
        <v>41</v>
      </c>
      <c r="C38" s="15"/>
      <c r="D38" s="15">
        <v>9.2799999999999994</v>
      </c>
      <c r="E38" s="15">
        <f>SUM(5,5)</f>
        <v>10</v>
      </c>
      <c r="F38" s="15">
        <v>0</v>
      </c>
      <c r="G38" s="4">
        <f t="shared" si="10"/>
        <v>14.28</v>
      </c>
      <c r="H38" s="16">
        <v>6.3</v>
      </c>
      <c r="I38" s="15">
        <f>SUM(0,0,0,0)</f>
        <v>0</v>
      </c>
      <c r="J38" s="15">
        <v>0</v>
      </c>
      <c r="K38" s="4">
        <f t="shared" si="11"/>
        <v>6.3</v>
      </c>
      <c r="L38" s="16">
        <v>6.97</v>
      </c>
      <c r="M38" s="15">
        <v>0</v>
      </c>
      <c r="N38" s="15">
        <v>0</v>
      </c>
      <c r="O38" s="4">
        <f t="shared" si="12"/>
        <v>6.97</v>
      </c>
      <c r="P38" s="16">
        <v>6.15</v>
      </c>
      <c r="Q38" s="15">
        <f>SUM(1,6)</f>
        <v>7</v>
      </c>
      <c r="R38" s="15">
        <v>0</v>
      </c>
      <c r="S38" s="4">
        <f t="shared" si="13"/>
        <v>9.65</v>
      </c>
      <c r="T38" s="16">
        <f>SUM(7.23,7.86)</f>
        <v>15.09</v>
      </c>
      <c r="U38" s="15">
        <f>SUM(3,4,11,2)</f>
        <v>20</v>
      </c>
      <c r="V38" s="15">
        <v>1</v>
      </c>
      <c r="W38" s="4">
        <f t="shared" si="14"/>
        <v>26.09</v>
      </c>
      <c r="X38" s="16">
        <v>3.56</v>
      </c>
      <c r="Y38" s="15">
        <f>SUM(0,1)</f>
        <v>1</v>
      </c>
      <c r="Z38" s="15">
        <v>0</v>
      </c>
      <c r="AA38" s="4">
        <f t="shared" si="15"/>
        <v>4.0600000000000005</v>
      </c>
      <c r="AB38" s="16">
        <v>4.95</v>
      </c>
      <c r="AC38" s="15">
        <f>SUM(0,8)</f>
        <v>8</v>
      </c>
      <c r="AD38" s="15">
        <v>0</v>
      </c>
      <c r="AE38" s="4">
        <f t="shared" si="16"/>
        <v>8.9499999999999993</v>
      </c>
      <c r="AF38" s="6">
        <f t="shared" si="17"/>
        <v>76.3</v>
      </c>
      <c r="AG38" s="15">
        <v>14</v>
      </c>
      <c r="AH38" s="15">
        <f t="shared" si="18"/>
        <v>46</v>
      </c>
      <c r="AI38" s="32" t="str">
        <f t="shared" si="19"/>
        <v>Jeff Hewlett</v>
      </c>
      <c r="AJ38" s="19"/>
      <c r="AK38" s="19"/>
      <c r="AL38" s="19"/>
      <c r="AM38" s="19"/>
    </row>
    <row r="39" spans="1:39">
      <c r="A39" s="13" t="s">
        <v>55</v>
      </c>
      <c r="B39" s="14" t="s">
        <v>41</v>
      </c>
      <c r="C39" s="15"/>
      <c r="D39" s="15">
        <v>9.5</v>
      </c>
      <c r="E39" s="15">
        <v>6</v>
      </c>
      <c r="F39" s="15">
        <v>0</v>
      </c>
      <c r="G39" s="4">
        <f t="shared" si="10"/>
        <v>12.5</v>
      </c>
      <c r="H39" s="16">
        <v>6.51</v>
      </c>
      <c r="I39" s="15">
        <v>0</v>
      </c>
      <c r="J39" s="15">
        <v>0</v>
      </c>
      <c r="K39" s="4">
        <f t="shared" si="11"/>
        <v>6.51</v>
      </c>
      <c r="L39" s="16">
        <v>5.39</v>
      </c>
      <c r="M39" s="15">
        <v>5</v>
      </c>
      <c r="N39" s="15">
        <v>0</v>
      </c>
      <c r="O39" s="4">
        <f t="shared" si="12"/>
        <v>7.89</v>
      </c>
      <c r="P39" s="16">
        <v>15.3</v>
      </c>
      <c r="Q39" s="15">
        <f>SUM(2,1)</f>
        <v>3</v>
      </c>
      <c r="R39" s="15">
        <v>0</v>
      </c>
      <c r="S39" s="4">
        <f t="shared" si="13"/>
        <v>16.8</v>
      </c>
      <c r="T39" s="16">
        <f>SUM(9.52,10.35)</f>
        <v>19.869999999999997</v>
      </c>
      <c r="U39" s="15">
        <f>SUM(5,0,0,1)</f>
        <v>6</v>
      </c>
      <c r="V39" s="15">
        <v>0</v>
      </c>
      <c r="W39" s="4">
        <f t="shared" si="14"/>
        <v>22.869999999999997</v>
      </c>
      <c r="X39" s="16">
        <v>3.77</v>
      </c>
      <c r="Y39" s="15">
        <f>SUM(0,0)</f>
        <v>0</v>
      </c>
      <c r="Z39" s="15">
        <v>0</v>
      </c>
      <c r="AA39" s="4">
        <f t="shared" si="15"/>
        <v>3.77</v>
      </c>
      <c r="AB39" s="16">
        <v>6.13</v>
      </c>
      <c r="AC39" s="15">
        <f>SUM(0,2)</f>
        <v>2</v>
      </c>
      <c r="AD39" s="15">
        <v>0</v>
      </c>
      <c r="AE39" s="4">
        <f t="shared" si="16"/>
        <v>7.13</v>
      </c>
      <c r="AF39" s="6">
        <f t="shared" si="17"/>
        <v>77.469999999999985</v>
      </c>
      <c r="AG39" s="15">
        <v>15</v>
      </c>
      <c r="AH39" s="54">
        <f t="shared" si="18"/>
        <v>22</v>
      </c>
      <c r="AI39" s="18" t="str">
        <f t="shared" si="19"/>
        <v>David Curtin</v>
      </c>
      <c r="AJ39" s="53"/>
      <c r="AK39" s="53"/>
      <c r="AL39" s="53"/>
      <c r="AM39" s="53"/>
    </row>
    <row r="40" spans="1:39">
      <c r="A40" s="13" t="s">
        <v>56</v>
      </c>
      <c r="B40" s="14" t="s">
        <v>41</v>
      </c>
      <c r="C40" s="15"/>
      <c r="D40" s="15">
        <v>7.58</v>
      </c>
      <c r="E40" s="15">
        <f>SUM(1,2)</f>
        <v>3</v>
      </c>
      <c r="F40" s="15">
        <v>0</v>
      </c>
      <c r="G40" s="4">
        <f t="shared" si="10"/>
        <v>9.08</v>
      </c>
      <c r="H40" s="16">
        <v>5.89</v>
      </c>
      <c r="I40" s="15">
        <f>SUM(2,0,0,0)</f>
        <v>2</v>
      </c>
      <c r="J40" s="15">
        <v>0</v>
      </c>
      <c r="K40" s="4">
        <f t="shared" si="11"/>
        <v>6.89</v>
      </c>
      <c r="L40" s="16">
        <v>8.33</v>
      </c>
      <c r="M40" s="15">
        <v>1</v>
      </c>
      <c r="N40" s="15">
        <v>0</v>
      </c>
      <c r="O40" s="4">
        <f t="shared" si="12"/>
        <v>8.83</v>
      </c>
      <c r="P40" s="16">
        <v>7.13</v>
      </c>
      <c r="Q40" s="15">
        <f>SUM(11,1)</f>
        <v>12</v>
      </c>
      <c r="R40" s="15">
        <v>0</v>
      </c>
      <c r="S40" s="4">
        <f t="shared" si="13"/>
        <v>13.129999999999999</v>
      </c>
      <c r="T40" s="16">
        <f>SUM(8.76,7.97)</f>
        <v>16.73</v>
      </c>
      <c r="U40" s="15">
        <f>SUM(1,6,7,10)</f>
        <v>24</v>
      </c>
      <c r="V40" s="15">
        <v>0</v>
      </c>
      <c r="W40" s="4">
        <f t="shared" si="14"/>
        <v>28.73</v>
      </c>
      <c r="X40" s="16">
        <v>3.59</v>
      </c>
      <c r="Y40" s="15">
        <f>SUM(0,0)</f>
        <v>0</v>
      </c>
      <c r="Z40" s="15">
        <v>1</v>
      </c>
      <c r="AA40" s="4">
        <f t="shared" si="15"/>
        <v>4.59</v>
      </c>
      <c r="AB40" s="16">
        <v>4.8099999999999996</v>
      </c>
      <c r="AC40" s="15">
        <f>SUM(7,1)</f>
        <v>8</v>
      </c>
      <c r="AD40" s="15">
        <v>0</v>
      </c>
      <c r="AE40" s="4">
        <f t="shared" si="16"/>
        <v>8.8099999999999987</v>
      </c>
      <c r="AF40" s="6">
        <f t="shared" si="17"/>
        <v>80.06</v>
      </c>
      <c r="AG40" s="15">
        <v>16</v>
      </c>
      <c r="AH40" s="54">
        <f t="shared" si="18"/>
        <v>50</v>
      </c>
      <c r="AI40" s="18" t="str">
        <f t="shared" si="19"/>
        <v>Roy Bobley</v>
      </c>
      <c r="AJ40" s="41"/>
      <c r="AK40" s="41"/>
      <c r="AL40" s="41"/>
      <c r="AM40" s="44"/>
    </row>
    <row r="41" spans="1:39">
      <c r="A41" s="13" t="s">
        <v>57</v>
      </c>
      <c r="B41" s="14" t="s">
        <v>41</v>
      </c>
      <c r="C41" s="15"/>
      <c r="D41" s="15">
        <v>8.42</v>
      </c>
      <c r="E41" s="15">
        <f>SUM(2,2)</f>
        <v>4</v>
      </c>
      <c r="F41" s="15">
        <v>0</v>
      </c>
      <c r="G41" s="4">
        <f t="shared" si="10"/>
        <v>10.42</v>
      </c>
      <c r="H41" s="16">
        <v>5.77</v>
      </c>
      <c r="I41" s="15">
        <f>SUM(2,0,0,0)</f>
        <v>2</v>
      </c>
      <c r="J41" s="15">
        <v>0</v>
      </c>
      <c r="K41" s="4">
        <f t="shared" si="11"/>
        <v>6.77</v>
      </c>
      <c r="L41" s="16">
        <v>7.03</v>
      </c>
      <c r="M41" s="15">
        <v>4</v>
      </c>
      <c r="N41" s="15">
        <v>0</v>
      </c>
      <c r="O41" s="4">
        <f t="shared" si="12"/>
        <v>9.0300000000000011</v>
      </c>
      <c r="P41" s="16">
        <v>11.32</v>
      </c>
      <c r="Q41" s="15">
        <f>SUM(7,6)</f>
        <v>13</v>
      </c>
      <c r="R41" s="15">
        <v>1</v>
      </c>
      <c r="S41" s="4">
        <f t="shared" si="13"/>
        <v>18.82</v>
      </c>
      <c r="T41" s="49">
        <f>SUM(9.37,11.35)</f>
        <v>20.72</v>
      </c>
      <c r="U41" s="15">
        <f>SUM(1,2,4,1)</f>
        <v>8</v>
      </c>
      <c r="V41" s="15">
        <v>0</v>
      </c>
      <c r="W41" s="4">
        <f t="shared" si="14"/>
        <v>24.72</v>
      </c>
      <c r="X41" s="16">
        <v>4.5</v>
      </c>
      <c r="Y41" s="15">
        <f>SUM(0,0)</f>
        <v>0</v>
      </c>
      <c r="Z41" s="15">
        <v>0</v>
      </c>
      <c r="AA41" s="4">
        <f t="shared" si="15"/>
        <v>4.5</v>
      </c>
      <c r="AB41" s="16">
        <v>6.4</v>
      </c>
      <c r="AC41" s="15">
        <f>SUM(1,0)</f>
        <v>1</v>
      </c>
      <c r="AD41" s="15">
        <v>0</v>
      </c>
      <c r="AE41" s="4">
        <f t="shared" si="16"/>
        <v>6.9</v>
      </c>
      <c r="AF41" s="6">
        <f t="shared" si="17"/>
        <v>81.16</v>
      </c>
      <c r="AG41" s="15">
        <v>17</v>
      </c>
      <c r="AH41" s="15">
        <f t="shared" si="18"/>
        <v>32</v>
      </c>
      <c r="AI41" s="55" t="str">
        <f t="shared" si="19"/>
        <v>Garnett Yeats</v>
      </c>
      <c r="AJ41" s="41"/>
      <c r="AK41" s="41"/>
      <c r="AL41" s="41"/>
      <c r="AM41" s="44"/>
    </row>
    <row r="42" spans="1:39">
      <c r="A42" s="13" t="s">
        <v>58</v>
      </c>
      <c r="B42" s="14" t="s">
        <v>41</v>
      </c>
      <c r="C42" s="15"/>
      <c r="D42" s="15">
        <v>9.8000000000000007</v>
      </c>
      <c r="E42" s="15">
        <f>SUM(5,1)</f>
        <v>6</v>
      </c>
      <c r="F42" s="15">
        <v>0</v>
      </c>
      <c r="G42" s="4">
        <f t="shared" si="10"/>
        <v>12.8</v>
      </c>
      <c r="H42" s="16">
        <v>5.74</v>
      </c>
      <c r="I42" s="15">
        <f>SUM(1,0,0,0)</f>
        <v>1</v>
      </c>
      <c r="J42" s="15">
        <v>0</v>
      </c>
      <c r="K42" s="4">
        <f t="shared" si="11"/>
        <v>6.24</v>
      </c>
      <c r="L42" s="16">
        <v>6.57</v>
      </c>
      <c r="M42" s="15">
        <v>0</v>
      </c>
      <c r="N42" s="15">
        <v>0</v>
      </c>
      <c r="O42" s="4">
        <f t="shared" si="12"/>
        <v>6.57</v>
      </c>
      <c r="P42" s="16">
        <v>14.26</v>
      </c>
      <c r="Q42" s="15">
        <f>SUM(0,0)</f>
        <v>0</v>
      </c>
      <c r="R42" s="15">
        <v>0</v>
      </c>
      <c r="S42" s="4">
        <f t="shared" si="13"/>
        <v>14.26</v>
      </c>
      <c r="T42" s="16">
        <f>SUM(13.35,16.94)</f>
        <v>30.29</v>
      </c>
      <c r="U42" s="15">
        <f>SUM(0,0,0,1)</f>
        <v>1</v>
      </c>
      <c r="V42" s="15">
        <v>0</v>
      </c>
      <c r="W42" s="4">
        <f t="shared" si="14"/>
        <v>30.79</v>
      </c>
      <c r="X42" s="16">
        <v>4.05</v>
      </c>
      <c r="Y42" s="15">
        <v>0</v>
      </c>
      <c r="Z42" s="15">
        <v>0</v>
      </c>
      <c r="AA42" s="4">
        <f t="shared" si="15"/>
        <v>4.05</v>
      </c>
      <c r="AB42" s="16">
        <v>7.12</v>
      </c>
      <c r="AC42" s="15">
        <f>SUM(0,0)</f>
        <v>0</v>
      </c>
      <c r="AD42" s="15">
        <v>0</v>
      </c>
      <c r="AE42" s="4">
        <f t="shared" si="16"/>
        <v>7.12</v>
      </c>
      <c r="AF42" s="6">
        <f t="shared" si="17"/>
        <v>81.83</v>
      </c>
      <c r="AG42" s="50">
        <v>18</v>
      </c>
      <c r="AH42" s="15">
        <f t="shared" si="18"/>
        <v>8</v>
      </c>
      <c r="AI42" s="18" t="str">
        <f t="shared" si="19"/>
        <v>Victor Anton</v>
      </c>
      <c r="AJ42" s="9"/>
      <c r="AK42" s="9"/>
      <c r="AL42" s="9"/>
      <c r="AM42" s="51"/>
    </row>
    <row r="43" spans="1:39">
      <c r="A43" s="13" t="s">
        <v>59</v>
      </c>
      <c r="B43" s="14" t="s">
        <v>41</v>
      </c>
      <c r="C43" s="15"/>
      <c r="D43" s="15">
        <v>9.18</v>
      </c>
      <c r="E43" s="15">
        <f>SUM(10,10)</f>
        <v>20</v>
      </c>
      <c r="F43" s="15">
        <v>0</v>
      </c>
      <c r="G43" s="4">
        <f t="shared" si="10"/>
        <v>19.18</v>
      </c>
      <c r="H43" s="16">
        <v>8.7899999999999991</v>
      </c>
      <c r="I43" s="15">
        <f>SUM(1,0,0,0)</f>
        <v>1</v>
      </c>
      <c r="J43" s="15">
        <v>0</v>
      </c>
      <c r="K43" s="4">
        <f t="shared" si="11"/>
        <v>9.2899999999999991</v>
      </c>
      <c r="L43" s="16">
        <v>8.49</v>
      </c>
      <c r="M43" s="15">
        <v>5</v>
      </c>
      <c r="N43" s="15">
        <v>0</v>
      </c>
      <c r="O43" s="4">
        <f t="shared" si="12"/>
        <v>10.99</v>
      </c>
      <c r="P43" s="16">
        <v>11.01</v>
      </c>
      <c r="Q43" s="15">
        <f>SUM(7,0)</f>
        <v>7</v>
      </c>
      <c r="R43" s="15">
        <v>0</v>
      </c>
      <c r="S43" s="4">
        <f t="shared" si="13"/>
        <v>14.51</v>
      </c>
      <c r="T43" s="16">
        <f>SUM(7.19,10.6)</f>
        <v>17.79</v>
      </c>
      <c r="U43" s="15">
        <f>SUM(5,1,1,0)</f>
        <v>7</v>
      </c>
      <c r="V43" s="15">
        <v>0</v>
      </c>
      <c r="W43" s="4">
        <f t="shared" si="14"/>
        <v>21.29</v>
      </c>
      <c r="X43" s="16">
        <v>5.56</v>
      </c>
      <c r="Y43" s="15">
        <f>SUM(0,0)</f>
        <v>0</v>
      </c>
      <c r="Z43" s="15">
        <v>0</v>
      </c>
      <c r="AA43" s="4">
        <f t="shared" si="15"/>
        <v>5.56</v>
      </c>
      <c r="AB43" s="16">
        <v>7.68</v>
      </c>
      <c r="AC43" s="15">
        <f>SUM(5,0)</f>
        <v>5</v>
      </c>
      <c r="AD43" s="15">
        <v>0</v>
      </c>
      <c r="AE43" s="4">
        <f t="shared" si="16"/>
        <v>10.18</v>
      </c>
      <c r="AF43" s="6">
        <f t="shared" si="17"/>
        <v>91</v>
      </c>
      <c r="AG43" s="15">
        <v>19</v>
      </c>
      <c r="AH43" s="15">
        <f t="shared" si="18"/>
        <v>45</v>
      </c>
      <c r="AI43" s="18" t="str">
        <f t="shared" si="19"/>
        <v>Cassio Menzes</v>
      </c>
      <c r="AJ43" s="9"/>
      <c r="AK43" s="9"/>
      <c r="AL43" s="9"/>
      <c r="AM43" s="51"/>
    </row>
    <row r="44" spans="1:39">
      <c r="A44" s="13" t="s">
        <v>60</v>
      </c>
      <c r="B44" s="14" t="s">
        <v>41</v>
      </c>
      <c r="C44" s="15"/>
      <c r="D44" s="15">
        <v>9.7100000000000009</v>
      </c>
      <c r="E44" s="15">
        <f>SUM(4,2)</f>
        <v>6</v>
      </c>
      <c r="F44" s="15">
        <v>0</v>
      </c>
      <c r="G44" s="4">
        <f t="shared" si="10"/>
        <v>12.71</v>
      </c>
      <c r="H44" s="16">
        <v>7.84</v>
      </c>
      <c r="I44" s="15">
        <f>SUM(2,0,0,5)</f>
        <v>7</v>
      </c>
      <c r="J44" s="15">
        <v>0</v>
      </c>
      <c r="K44" s="4">
        <f t="shared" si="11"/>
        <v>11.34</v>
      </c>
      <c r="L44" s="16">
        <v>5.98</v>
      </c>
      <c r="M44" s="15">
        <v>7</v>
      </c>
      <c r="N44" s="15">
        <v>0</v>
      </c>
      <c r="O44" s="4">
        <f t="shared" si="12"/>
        <v>9.48</v>
      </c>
      <c r="P44" s="16">
        <v>9.35</v>
      </c>
      <c r="Q44" s="15">
        <f>SUM(0,2,3)</f>
        <v>5</v>
      </c>
      <c r="R44" s="15">
        <v>0</v>
      </c>
      <c r="S44" s="4">
        <f t="shared" si="13"/>
        <v>11.85</v>
      </c>
      <c r="T44" s="16">
        <f>SUM(10.42,10.8)</f>
        <v>21.22</v>
      </c>
      <c r="U44" s="15">
        <f>SUM(5,1,7,10)</f>
        <v>23</v>
      </c>
      <c r="V44" s="15">
        <v>0</v>
      </c>
      <c r="W44" s="4">
        <f t="shared" si="14"/>
        <v>32.72</v>
      </c>
      <c r="X44" s="16">
        <v>4.6100000000000003</v>
      </c>
      <c r="Y44" s="15">
        <f>SUM(2,5)</f>
        <v>7</v>
      </c>
      <c r="Z44" s="15">
        <v>2</v>
      </c>
      <c r="AA44" s="4">
        <f t="shared" si="15"/>
        <v>10.11</v>
      </c>
      <c r="AB44" s="16">
        <v>9.02</v>
      </c>
      <c r="AC44" s="15">
        <f>SUM(2,1)</f>
        <v>3</v>
      </c>
      <c r="AD44" s="15">
        <v>0</v>
      </c>
      <c r="AE44" s="4">
        <f t="shared" si="16"/>
        <v>10.52</v>
      </c>
      <c r="AF44" s="6">
        <f t="shared" si="17"/>
        <v>98.72999999999999</v>
      </c>
      <c r="AG44" s="15">
        <v>20</v>
      </c>
      <c r="AH44" s="15">
        <f t="shared" si="18"/>
        <v>58</v>
      </c>
      <c r="AI44" s="18" t="str">
        <f t="shared" si="19"/>
        <v>Domenic Rachiele</v>
      </c>
      <c r="AM44" s="52"/>
    </row>
    <row r="45" spans="1:39">
      <c r="A45" s="13" t="s">
        <v>61</v>
      </c>
      <c r="B45" s="14" t="s">
        <v>41</v>
      </c>
      <c r="C45" s="15"/>
      <c r="D45" s="15">
        <v>11.78</v>
      </c>
      <c r="E45" s="15">
        <f>SUM(1,5)</f>
        <v>6</v>
      </c>
      <c r="F45" s="15">
        <v>0</v>
      </c>
      <c r="G45" s="4">
        <f t="shared" si="10"/>
        <v>14.78</v>
      </c>
      <c r="H45" s="16">
        <v>9</v>
      </c>
      <c r="I45" s="15">
        <v>1</v>
      </c>
      <c r="J45" s="15">
        <v>0</v>
      </c>
      <c r="K45" s="4">
        <f t="shared" si="11"/>
        <v>9.5</v>
      </c>
      <c r="L45" s="16">
        <v>9.94</v>
      </c>
      <c r="M45" s="15">
        <v>1</v>
      </c>
      <c r="N45" s="15">
        <v>0</v>
      </c>
      <c r="O45" s="4">
        <f t="shared" si="12"/>
        <v>10.44</v>
      </c>
      <c r="P45" s="16">
        <v>8.08</v>
      </c>
      <c r="Q45" s="15">
        <f>SUM(6,12)</f>
        <v>18</v>
      </c>
      <c r="R45" s="15">
        <v>1</v>
      </c>
      <c r="S45" s="4">
        <f t="shared" si="13"/>
        <v>18.079999999999998</v>
      </c>
      <c r="T45" s="16">
        <f>SUM(7,16.34)</f>
        <v>23.34</v>
      </c>
      <c r="U45" s="15">
        <f>SUM(0,0,10,10)</f>
        <v>20</v>
      </c>
      <c r="V45" s="15">
        <v>0</v>
      </c>
      <c r="W45" s="4">
        <f t="shared" si="14"/>
        <v>33.340000000000003</v>
      </c>
      <c r="X45" s="16">
        <v>5.86</v>
      </c>
      <c r="Y45" s="15">
        <f>SUM(0,0)</f>
        <v>0</v>
      </c>
      <c r="Z45" s="15">
        <v>0</v>
      </c>
      <c r="AA45" s="4">
        <f t="shared" si="15"/>
        <v>5.86</v>
      </c>
      <c r="AB45" s="16">
        <v>8.31</v>
      </c>
      <c r="AC45" s="15">
        <f>SUM(2,1)</f>
        <v>3</v>
      </c>
      <c r="AD45" s="15">
        <v>0</v>
      </c>
      <c r="AE45" s="4">
        <f t="shared" si="16"/>
        <v>9.81</v>
      </c>
      <c r="AF45" s="6">
        <f t="shared" si="17"/>
        <v>101.81</v>
      </c>
      <c r="AG45" s="15">
        <v>21</v>
      </c>
      <c r="AH45" s="15">
        <f t="shared" si="18"/>
        <v>49</v>
      </c>
      <c r="AI45" s="18" t="str">
        <f t="shared" si="19"/>
        <v>Robert Grey</v>
      </c>
      <c r="AM45" s="52"/>
    </row>
    <row r="46" spans="1:39">
      <c r="A46" s="13" t="s">
        <v>62</v>
      </c>
      <c r="B46" s="14" t="s">
        <v>41</v>
      </c>
      <c r="C46" s="15"/>
      <c r="D46" s="15">
        <v>17.829999999999998</v>
      </c>
      <c r="E46" s="15">
        <f>SUM(4,11)</f>
        <v>15</v>
      </c>
      <c r="F46" s="15">
        <v>0</v>
      </c>
      <c r="G46" s="4">
        <f t="shared" si="10"/>
        <v>25.33</v>
      </c>
      <c r="H46" s="16">
        <v>8.08</v>
      </c>
      <c r="I46" s="15">
        <f>SUM(1,0,0,0)</f>
        <v>1</v>
      </c>
      <c r="J46" s="15">
        <v>0</v>
      </c>
      <c r="K46" s="4">
        <f t="shared" si="11"/>
        <v>8.58</v>
      </c>
      <c r="L46" s="16">
        <v>7.01</v>
      </c>
      <c r="M46" s="15">
        <v>8</v>
      </c>
      <c r="N46" s="15">
        <v>0</v>
      </c>
      <c r="O46" s="4">
        <f t="shared" si="12"/>
        <v>11.01</v>
      </c>
      <c r="P46" s="16">
        <v>9.7100000000000009</v>
      </c>
      <c r="Q46" s="15">
        <f>SUM(1,11)</f>
        <v>12</v>
      </c>
      <c r="R46" s="15">
        <v>1</v>
      </c>
      <c r="S46" s="4">
        <f t="shared" si="13"/>
        <v>16.71</v>
      </c>
      <c r="T46" s="16">
        <f>SUM(15.57,8.26)</f>
        <v>23.83</v>
      </c>
      <c r="U46" s="15">
        <f>SUM(0,0,1,0)</f>
        <v>1</v>
      </c>
      <c r="V46" s="15">
        <v>0</v>
      </c>
      <c r="W46" s="4">
        <f t="shared" si="14"/>
        <v>24.33</v>
      </c>
      <c r="X46" s="16">
        <v>4.71</v>
      </c>
      <c r="Y46" s="15">
        <f>SUM(0,0)</f>
        <v>0</v>
      </c>
      <c r="Z46" s="15">
        <v>1</v>
      </c>
      <c r="AA46" s="4">
        <f t="shared" si="15"/>
        <v>5.71</v>
      </c>
      <c r="AB46" s="16">
        <v>7.4</v>
      </c>
      <c r="AC46" s="15">
        <f>SUM(2,2)</f>
        <v>4</v>
      </c>
      <c r="AD46" s="15">
        <v>1</v>
      </c>
      <c r="AE46" s="4">
        <f t="shared" si="16"/>
        <v>10.4</v>
      </c>
      <c r="AF46" s="6">
        <f t="shared" si="17"/>
        <v>102.07</v>
      </c>
      <c r="AG46" s="50">
        <v>22</v>
      </c>
      <c r="AH46" s="15">
        <f t="shared" si="18"/>
        <v>41</v>
      </c>
      <c r="AI46" s="18" t="str">
        <f t="shared" si="19"/>
        <v>Jeff Hoch</v>
      </c>
      <c r="AM46" s="52"/>
    </row>
    <row r="47" spans="1:39">
      <c r="A47" s="13" t="s">
        <v>63</v>
      </c>
      <c r="B47" s="14" t="s">
        <v>41</v>
      </c>
      <c r="C47" s="15"/>
      <c r="D47" s="15">
        <v>9.61</v>
      </c>
      <c r="E47" s="15">
        <f>SUM(0,6)</f>
        <v>6</v>
      </c>
      <c r="F47" s="15">
        <v>0</v>
      </c>
      <c r="G47" s="4">
        <f t="shared" si="10"/>
        <v>12.61</v>
      </c>
      <c r="H47" s="16">
        <v>7.4</v>
      </c>
      <c r="I47" s="15">
        <f>SUM(1,5,0,0)</f>
        <v>6</v>
      </c>
      <c r="J47" s="15">
        <v>0</v>
      </c>
      <c r="K47" s="4">
        <f t="shared" si="11"/>
        <v>10.4</v>
      </c>
      <c r="L47" s="16">
        <v>7.05</v>
      </c>
      <c r="M47" s="15">
        <v>3</v>
      </c>
      <c r="N47" s="15">
        <v>0</v>
      </c>
      <c r="O47" s="4">
        <f t="shared" si="12"/>
        <v>8.5500000000000007</v>
      </c>
      <c r="P47" s="16">
        <v>9.65</v>
      </c>
      <c r="Q47" s="15">
        <f>SUM(10,3)</f>
        <v>13</v>
      </c>
      <c r="R47" s="15">
        <v>1</v>
      </c>
      <c r="S47" s="4">
        <f t="shared" si="13"/>
        <v>17.149999999999999</v>
      </c>
      <c r="T47" s="16">
        <f>SUM(17.81,12.29)</f>
        <v>30.099999999999998</v>
      </c>
      <c r="U47" s="15">
        <f>SUM(6,0,10,15)</f>
        <v>31</v>
      </c>
      <c r="V47" s="15">
        <v>0</v>
      </c>
      <c r="W47" s="4">
        <f t="shared" si="14"/>
        <v>45.599999999999994</v>
      </c>
      <c r="X47" s="16">
        <v>4.99</v>
      </c>
      <c r="Y47" s="15">
        <v>0</v>
      </c>
      <c r="Z47" s="15">
        <v>1</v>
      </c>
      <c r="AA47" s="4">
        <f t="shared" si="15"/>
        <v>5.99</v>
      </c>
      <c r="AB47" s="16">
        <v>8.76</v>
      </c>
      <c r="AC47" s="15">
        <f>SUM(1,1)</f>
        <v>2</v>
      </c>
      <c r="AD47" s="15">
        <v>0</v>
      </c>
      <c r="AE47" s="4">
        <f t="shared" si="16"/>
        <v>9.76</v>
      </c>
      <c r="AF47" s="6">
        <f t="shared" si="17"/>
        <v>110.05999999999999</v>
      </c>
      <c r="AG47" s="15">
        <v>23</v>
      </c>
      <c r="AH47" s="15">
        <f t="shared" si="18"/>
        <v>61</v>
      </c>
      <c r="AI47" s="18" t="str">
        <f t="shared" si="19"/>
        <v>Mitch Gurowitz</v>
      </c>
      <c r="AM47" s="52"/>
    </row>
    <row r="48" spans="1:39">
      <c r="A48" s="13" t="s">
        <v>64</v>
      </c>
      <c r="B48" s="14" t="s">
        <v>41</v>
      </c>
      <c r="C48" s="15"/>
      <c r="D48" s="15">
        <v>11.19</v>
      </c>
      <c r="E48" s="15">
        <f>SUM(10,9)</f>
        <v>19</v>
      </c>
      <c r="F48" s="15">
        <v>0</v>
      </c>
      <c r="G48" s="4">
        <f t="shared" si="10"/>
        <v>20.689999999999998</v>
      </c>
      <c r="H48" s="16">
        <v>6.23</v>
      </c>
      <c r="I48" s="15">
        <f>SUM(1,5,0,0)</f>
        <v>6</v>
      </c>
      <c r="J48" s="15">
        <v>0</v>
      </c>
      <c r="K48" s="4">
        <f t="shared" si="11"/>
        <v>9.23</v>
      </c>
      <c r="L48" s="16">
        <v>6.53</v>
      </c>
      <c r="M48" s="15">
        <v>8</v>
      </c>
      <c r="N48" s="15">
        <v>0</v>
      </c>
      <c r="O48" s="4">
        <f t="shared" si="12"/>
        <v>10.530000000000001</v>
      </c>
      <c r="P48" s="16">
        <v>10.08</v>
      </c>
      <c r="Q48" s="15">
        <f>SUM(4,6)</f>
        <v>10</v>
      </c>
      <c r="R48" s="15">
        <v>0</v>
      </c>
      <c r="S48" s="4">
        <f t="shared" si="13"/>
        <v>15.08</v>
      </c>
      <c r="T48" s="16">
        <f>SUM(7.39,19.87)</f>
        <v>27.26</v>
      </c>
      <c r="U48" s="15">
        <f>SUM(6,1,10,15)</f>
        <v>32</v>
      </c>
      <c r="V48" s="15">
        <v>0</v>
      </c>
      <c r="W48" s="4">
        <f t="shared" si="14"/>
        <v>43.260000000000005</v>
      </c>
      <c r="X48" s="16">
        <v>4.43</v>
      </c>
      <c r="Y48" s="15">
        <v>0</v>
      </c>
      <c r="Z48" s="15">
        <v>0</v>
      </c>
      <c r="AA48" s="4">
        <f t="shared" si="15"/>
        <v>4.43</v>
      </c>
      <c r="AB48" s="16">
        <v>8.14</v>
      </c>
      <c r="AC48" s="15">
        <f>SUM(0,1)</f>
        <v>1</v>
      </c>
      <c r="AD48" s="15">
        <v>0</v>
      </c>
      <c r="AE48" s="4">
        <f t="shared" si="16"/>
        <v>8.64</v>
      </c>
      <c r="AF48" s="6">
        <f t="shared" si="17"/>
        <v>111.86</v>
      </c>
      <c r="AG48" s="15">
        <v>24</v>
      </c>
      <c r="AH48" s="15">
        <f t="shared" si="18"/>
        <v>76</v>
      </c>
      <c r="AI48" s="18" t="str">
        <f t="shared" si="19"/>
        <v>Hetal Banker</v>
      </c>
      <c r="AM48" s="52"/>
    </row>
    <row r="49" spans="1:39">
      <c r="A49" s="13" t="s">
        <v>65</v>
      </c>
      <c r="B49" s="14" t="s">
        <v>41</v>
      </c>
      <c r="C49" s="15"/>
      <c r="D49" s="15">
        <v>12.92</v>
      </c>
      <c r="E49" s="15">
        <f>SUM(5,10,1)</f>
        <v>16</v>
      </c>
      <c r="F49" s="15">
        <v>2</v>
      </c>
      <c r="G49" s="4">
        <f t="shared" si="10"/>
        <v>22.92</v>
      </c>
      <c r="H49" s="16">
        <v>5.94</v>
      </c>
      <c r="I49" s="15">
        <v>1</v>
      </c>
      <c r="J49" s="15">
        <v>0</v>
      </c>
      <c r="K49" s="4">
        <f t="shared" si="11"/>
        <v>6.44</v>
      </c>
      <c r="L49" s="16">
        <v>13.49</v>
      </c>
      <c r="M49" s="15">
        <v>3</v>
      </c>
      <c r="N49" s="15">
        <v>0</v>
      </c>
      <c r="O49" s="4">
        <f t="shared" si="12"/>
        <v>14.99</v>
      </c>
      <c r="P49" s="16">
        <v>19.239999999999998</v>
      </c>
      <c r="Q49" s="15">
        <f>SUM(5,1)</f>
        <v>6</v>
      </c>
      <c r="R49" s="15">
        <v>1</v>
      </c>
      <c r="S49" s="4">
        <f t="shared" si="13"/>
        <v>23.24</v>
      </c>
      <c r="T49" s="16">
        <f>SUM(9.78,13.78)</f>
        <v>23.56</v>
      </c>
      <c r="U49" s="15">
        <f>SUM(10,12)</f>
        <v>22</v>
      </c>
      <c r="V49" s="15">
        <v>0</v>
      </c>
      <c r="W49" s="4">
        <f t="shared" si="14"/>
        <v>34.56</v>
      </c>
      <c r="X49" s="16">
        <v>6.07</v>
      </c>
      <c r="Y49" s="15">
        <v>0</v>
      </c>
      <c r="Z49" s="15">
        <v>0</v>
      </c>
      <c r="AA49" s="4">
        <f t="shared" si="15"/>
        <v>6.07</v>
      </c>
      <c r="AB49" s="16">
        <v>5.63</v>
      </c>
      <c r="AC49" s="15">
        <f>SUM(1,6)</f>
        <v>7</v>
      </c>
      <c r="AD49" s="15">
        <v>0</v>
      </c>
      <c r="AE49" s="4">
        <f t="shared" si="16"/>
        <v>9.129999999999999</v>
      </c>
      <c r="AF49" s="6">
        <f t="shared" si="17"/>
        <v>117.35</v>
      </c>
      <c r="AG49" s="15">
        <v>25</v>
      </c>
      <c r="AH49" s="15">
        <f t="shared" si="18"/>
        <v>55</v>
      </c>
      <c r="AI49" s="18" t="str">
        <f t="shared" si="19"/>
        <v>Frank Lindsay, Sr</v>
      </c>
      <c r="AM49" s="52"/>
    </row>
    <row r="50" spans="1:39">
      <c r="A50" s="13" t="s">
        <v>39</v>
      </c>
      <c r="B50" s="14" t="s">
        <v>41</v>
      </c>
      <c r="C50" s="15"/>
      <c r="D50" s="16">
        <v>11.43</v>
      </c>
      <c r="E50" s="15">
        <f>SUM(0,6)</f>
        <v>6</v>
      </c>
      <c r="F50" s="15">
        <v>0</v>
      </c>
      <c r="G50" s="4">
        <f t="shared" si="10"/>
        <v>14.43</v>
      </c>
      <c r="H50" s="16">
        <v>10.31</v>
      </c>
      <c r="I50" s="15">
        <f>SUM(2,0,0,0)</f>
        <v>2</v>
      </c>
      <c r="J50" s="15">
        <v>0</v>
      </c>
      <c r="K50" s="4">
        <f t="shared" si="11"/>
        <v>11.31</v>
      </c>
      <c r="L50" s="16">
        <v>8.1300000000000008</v>
      </c>
      <c r="M50" s="15">
        <v>0</v>
      </c>
      <c r="N50" s="15">
        <v>0</v>
      </c>
      <c r="O50" s="4">
        <f t="shared" si="12"/>
        <v>8.1300000000000008</v>
      </c>
      <c r="P50" s="16">
        <v>12.62</v>
      </c>
      <c r="Q50" s="15">
        <f>SUM(2,4)</f>
        <v>6</v>
      </c>
      <c r="R50" s="15">
        <v>0</v>
      </c>
      <c r="S50" s="4">
        <f t="shared" si="13"/>
        <v>15.62</v>
      </c>
      <c r="T50" s="16">
        <f>SUM(12.32,12.36)</f>
        <v>24.68</v>
      </c>
      <c r="U50" s="15">
        <f>SUM(0,1,13,15,15)</f>
        <v>44</v>
      </c>
      <c r="V50" s="15">
        <v>0</v>
      </c>
      <c r="W50" s="4">
        <f t="shared" si="14"/>
        <v>46.68</v>
      </c>
      <c r="X50" s="16">
        <v>5.63</v>
      </c>
      <c r="Y50" s="15">
        <f>SUM(0,0)</f>
        <v>0</v>
      </c>
      <c r="Z50" s="15">
        <v>1</v>
      </c>
      <c r="AA50" s="4">
        <f t="shared" si="15"/>
        <v>6.63</v>
      </c>
      <c r="AB50" s="16">
        <v>7.88</v>
      </c>
      <c r="AC50" s="15">
        <f>SUM(15,10)</f>
        <v>25</v>
      </c>
      <c r="AD50" s="15">
        <v>0</v>
      </c>
      <c r="AE50" s="4">
        <f t="shared" si="16"/>
        <v>20.38</v>
      </c>
      <c r="AF50" s="6">
        <f t="shared" si="17"/>
        <v>123.17999999999999</v>
      </c>
      <c r="AG50" s="15">
        <v>26</v>
      </c>
      <c r="AH50" s="15">
        <f t="shared" si="18"/>
        <v>83</v>
      </c>
      <c r="AI50" s="18" t="str">
        <f t="shared" si="19"/>
        <v>Buddy Pittman</v>
      </c>
      <c r="AM50" s="52"/>
    </row>
    <row r="51" spans="1:39">
      <c r="A51" s="13" t="s">
        <v>66</v>
      </c>
      <c r="B51" s="14" t="s">
        <v>41</v>
      </c>
      <c r="C51" s="15"/>
      <c r="D51" s="15">
        <v>13.98</v>
      </c>
      <c r="E51" s="15">
        <f>SUM(6,1)</f>
        <v>7</v>
      </c>
      <c r="F51" s="15">
        <v>0</v>
      </c>
      <c r="G51" s="4">
        <f t="shared" si="10"/>
        <v>17.48</v>
      </c>
      <c r="H51" s="16">
        <v>7.32</v>
      </c>
      <c r="I51" s="15">
        <f>SUM(1,0,5,5)</f>
        <v>11</v>
      </c>
      <c r="J51" s="15">
        <v>0</v>
      </c>
      <c r="K51" s="4">
        <f t="shared" si="11"/>
        <v>12.82</v>
      </c>
      <c r="L51" s="16">
        <v>8.7100000000000009</v>
      </c>
      <c r="M51" s="15">
        <v>11</v>
      </c>
      <c r="N51" s="15">
        <v>0</v>
      </c>
      <c r="O51" s="4">
        <f t="shared" si="12"/>
        <v>14.21</v>
      </c>
      <c r="P51" s="16">
        <v>9.2200000000000006</v>
      </c>
      <c r="Q51" s="15">
        <f>SUM(0,11)</f>
        <v>11</v>
      </c>
      <c r="R51" s="15">
        <v>0</v>
      </c>
      <c r="S51" s="4">
        <f t="shared" si="13"/>
        <v>14.72</v>
      </c>
      <c r="T51" s="16">
        <f>SUM(25.87,11.81)</f>
        <v>37.68</v>
      </c>
      <c r="U51" s="15">
        <f>SUM(6,5,7,6)</f>
        <v>24</v>
      </c>
      <c r="V51" s="15">
        <v>0</v>
      </c>
      <c r="W51" s="4">
        <f t="shared" si="14"/>
        <v>49.68</v>
      </c>
      <c r="X51" s="16">
        <v>6.59</v>
      </c>
      <c r="Y51" s="15">
        <f>SUM(0,0)</f>
        <v>0</v>
      </c>
      <c r="Z51" s="15">
        <v>1</v>
      </c>
      <c r="AA51" s="4">
        <f t="shared" si="15"/>
        <v>7.59</v>
      </c>
      <c r="AB51" s="16">
        <v>7.88</v>
      </c>
      <c r="AC51" s="15">
        <f>SUM(7,1)</f>
        <v>8</v>
      </c>
      <c r="AD51" s="15">
        <v>0</v>
      </c>
      <c r="AE51" s="4">
        <f t="shared" si="16"/>
        <v>11.879999999999999</v>
      </c>
      <c r="AF51" s="6">
        <f t="shared" si="17"/>
        <v>128.38</v>
      </c>
      <c r="AG51" s="15">
        <v>27</v>
      </c>
      <c r="AH51" s="15">
        <f t="shared" si="18"/>
        <v>72</v>
      </c>
      <c r="AI51" s="18" t="str">
        <f t="shared" si="19"/>
        <v>Jason Hoch</v>
      </c>
      <c r="AM51" s="52"/>
    </row>
  </sheetData>
  <mergeCells count="1">
    <mergeCell ref="A1:AM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Lord Powell</dc:creator>
  <cp:lastModifiedBy>wayne.spencer</cp:lastModifiedBy>
  <dcterms:created xsi:type="dcterms:W3CDTF">2009-10-27T02:26:10Z</dcterms:created>
  <dcterms:modified xsi:type="dcterms:W3CDTF">2009-10-29T12:09:40Z</dcterms:modified>
</cp:coreProperties>
</file>